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4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updateLinks="always"/>
  <mc:AlternateContent xmlns:mc="http://schemas.openxmlformats.org/markup-compatibility/2006">
    <mc:Choice Requires="x15">
      <x15ac:absPath xmlns:x15ac="http://schemas.microsoft.com/office/spreadsheetml/2010/11/ac" url="C:\Users\Armando\Dropbox (Politecnico Di Torino Studenti)\24_25 TESI PELLEGRINO\Lab\Fatigue\"/>
    </mc:Choice>
  </mc:AlternateContent>
  <xr:revisionPtr revIDLastSave="0" documentId="13_ncr:1_{05205559-E763-45E6-A424-0B4EC674921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NEX F" sheetId="1" r:id="rId1"/>
    <sheet name="ANNEX E" sheetId="2" r:id="rId2"/>
    <sheet name="ANNEX D" sheetId="5" r:id="rId3"/>
    <sheet name="SHIFT-TILT FACTORS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solver_adj" localSheetId="3" hidden="1">'SHIFT-TILT FACTORS'!$AD$46,'SHIFT-TILT FACTORS'!$AD$47</definedName>
    <definedName name="solver_cvg" localSheetId="3" hidden="1">0.0001</definedName>
    <definedName name="solver_drv" localSheetId="3" hidden="1">1</definedName>
    <definedName name="solver_eng" localSheetId="3" hidden="1">1</definedName>
    <definedName name="solver_est" localSheetId="3" hidden="1">1</definedName>
    <definedName name="solver_itr" localSheetId="3" hidden="1">2147483647</definedName>
    <definedName name="solver_lhs1" localSheetId="3" hidden="1">'SHIFT-TILT FACTORS'!$AD$46</definedName>
    <definedName name="solver_lhs2" localSheetId="3" hidden="1">'SHIFT-TILT FACTORS'!$AC$49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0</definedName>
    <definedName name="solver_nwt" localSheetId="3" hidden="1">1</definedName>
    <definedName name="solver_opt" localSheetId="3" hidden="1">'SHIFT-TILT FACTORS'!$AJ$62</definedName>
    <definedName name="solver_pre" localSheetId="3" hidden="1">0.000001</definedName>
    <definedName name="solver_rbv" localSheetId="3" hidden="1">1</definedName>
    <definedName name="solver_rel1" localSheetId="3" hidden="1">3</definedName>
    <definedName name="solver_rel2" localSheetId="3" hidden="1">3</definedName>
    <definedName name="solver_rhs1" localSheetId="3" hidden="1">0.0001</definedName>
    <definedName name="solver_rhs2" localSheetId="3" hidden="1">0.000000001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2</definedName>
    <definedName name="solver_val" localSheetId="3" hidden="1">142</definedName>
    <definedName name="solver_ver" localSheetId="3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6" i="1" l="1"/>
  <c r="AB35" i="1"/>
  <c r="AB34" i="1"/>
  <c r="AB33" i="1"/>
  <c r="AB32" i="1" l="1"/>
  <c r="P22" i="5" l="1"/>
  <c r="R46" i="5" s="1"/>
  <c r="O22" i="5"/>
  <c r="Q46" i="5" s="1"/>
  <c r="P20" i="5"/>
  <c r="O20" i="5"/>
  <c r="Y21" i="2" l="1"/>
  <c r="X21" i="2"/>
  <c r="W21" i="2"/>
  <c r="W27" i="2"/>
  <c r="X27" i="2"/>
  <c r="Y27" i="2"/>
  <c r="W33" i="2"/>
  <c r="X33" i="2"/>
  <c r="Y33" i="2"/>
  <c r="X15" i="2"/>
  <c r="W15" i="2"/>
  <c r="X14" i="2"/>
  <c r="W14" i="2"/>
  <c r="Y9" i="2"/>
  <c r="X9" i="2"/>
  <c r="W9" i="2"/>
  <c r="Y8" i="2"/>
  <c r="X8" i="2"/>
  <c r="W8" i="2"/>
  <c r="T40" i="1" l="1"/>
  <c r="S40" i="1"/>
  <c r="R40" i="1"/>
  <c r="T38" i="1"/>
  <c r="S38" i="1"/>
  <c r="R38" i="1"/>
  <c r="T36" i="1"/>
  <c r="S36" i="1"/>
  <c r="R36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S25" i="1"/>
  <c r="T25" i="1"/>
  <c r="R25" i="1"/>
  <c r="S17" i="1"/>
  <c r="T17" i="1"/>
  <c r="R17" i="1"/>
  <c r="S8" i="1"/>
  <c r="T8" i="1"/>
  <c r="R8" i="1"/>
  <c r="S19" i="2"/>
  <c r="S17" i="2"/>
  <c r="T11" i="2"/>
  <c r="T39" i="1" l="1"/>
  <c r="T13" i="2"/>
  <c r="T14" i="2" s="1"/>
  <c r="R13" i="2"/>
  <c r="R11" i="2"/>
  <c r="S13" i="2"/>
  <c r="S11" i="2"/>
  <c r="S14" i="2" s="1"/>
  <c r="R14" i="2" l="1"/>
  <c r="H31" i="5" l="1"/>
  <c r="K31" i="5" s="1"/>
  <c r="G31" i="5"/>
  <c r="J31" i="5" s="1"/>
  <c r="F31" i="5"/>
  <c r="I31" i="5" s="1"/>
  <c r="E31" i="5"/>
  <c r="D31" i="5"/>
  <c r="H30" i="5"/>
  <c r="K30" i="5" s="1"/>
  <c r="G30" i="5"/>
  <c r="J30" i="5" s="1"/>
  <c r="F30" i="5"/>
  <c r="I30" i="5" s="1"/>
  <c r="E30" i="5"/>
  <c r="D30" i="5"/>
  <c r="H29" i="5"/>
  <c r="K29" i="5" s="1"/>
  <c r="G29" i="5"/>
  <c r="J29" i="5" s="1"/>
  <c r="F29" i="5"/>
  <c r="I29" i="5" s="1"/>
  <c r="E29" i="5"/>
  <c r="D29" i="5"/>
  <c r="H28" i="5"/>
  <c r="K28" i="5" s="1"/>
  <c r="G28" i="5"/>
  <c r="J28" i="5" s="1"/>
  <c r="F28" i="5"/>
  <c r="I28" i="5" s="1"/>
  <c r="E28" i="5"/>
  <c r="D28" i="5"/>
  <c r="H27" i="5"/>
  <c r="K27" i="5" s="1"/>
  <c r="G27" i="5"/>
  <c r="J27" i="5" s="1"/>
  <c r="F27" i="5"/>
  <c r="I27" i="5" s="1"/>
  <c r="E27" i="5"/>
  <c r="D27" i="5"/>
  <c r="H26" i="5"/>
  <c r="K26" i="5" s="1"/>
  <c r="G26" i="5"/>
  <c r="J26" i="5" s="1"/>
  <c r="F26" i="5"/>
  <c r="I26" i="5" s="1"/>
  <c r="E26" i="5"/>
  <c r="D26" i="5"/>
  <c r="H25" i="5"/>
  <c r="K25" i="5" s="1"/>
  <c r="G25" i="5"/>
  <c r="J25" i="5" s="1"/>
  <c r="F25" i="5"/>
  <c r="I25" i="5" s="1"/>
  <c r="E25" i="5"/>
  <c r="D25" i="5"/>
  <c r="O27" i="5" l="1"/>
  <c r="P27" i="5"/>
  <c r="H38" i="5"/>
  <c r="K38" i="5" s="1"/>
  <c r="G38" i="5"/>
  <c r="J38" i="5" s="1"/>
  <c r="F38" i="5"/>
  <c r="I38" i="5" s="1"/>
  <c r="E38" i="5"/>
  <c r="D38" i="5"/>
  <c r="H37" i="5"/>
  <c r="K37" i="5" s="1"/>
  <c r="G37" i="5"/>
  <c r="J37" i="5" s="1"/>
  <c r="F37" i="5"/>
  <c r="I37" i="5" s="1"/>
  <c r="E37" i="5"/>
  <c r="D37" i="5"/>
  <c r="H36" i="5"/>
  <c r="K36" i="5" s="1"/>
  <c r="G36" i="5"/>
  <c r="J36" i="5" s="1"/>
  <c r="F36" i="5"/>
  <c r="I36" i="5" s="1"/>
  <c r="E36" i="5"/>
  <c r="D36" i="5"/>
  <c r="H35" i="5"/>
  <c r="K35" i="5" s="1"/>
  <c r="G35" i="5"/>
  <c r="J35" i="5" s="1"/>
  <c r="F35" i="5"/>
  <c r="I35" i="5" s="1"/>
  <c r="E35" i="5"/>
  <c r="D35" i="5"/>
  <c r="H34" i="5"/>
  <c r="K34" i="5" s="1"/>
  <c r="G34" i="5"/>
  <c r="J34" i="5" s="1"/>
  <c r="F34" i="5"/>
  <c r="I34" i="5" s="1"/>
  <c r="E34" i="5"/>
  <c r="D34" i="5"/>
  <c r="H33" i="5"/>
  <c r="K33" i="5" s="1"/>
  <c r="G33" i="5"/>
  <c r="J33" i="5" s="1"/>
  <c r="F33" i="5"/>
  <c r="I33" i="5" s="1"/>
  <c r="E33" i="5"/>
  <c r="D33" i="5"/>
  <c r="H32" i="5"/>
  <c r="K32" i="5" s="1"/>
  <c r="G32" i="5"/>
  <c r="J32" i="5" s="1"/>
  <c r="F32" i="5"/>
  <c r="I32" i="5" s="1"/>
  <c r="E32" i="5"/>
  <c r="D32" i="5"/>
  <c r="D13" i="5"/>
  <c r="E13" i="5"/>
  <c r="F13" i="5"/>
  <c r="I13" i="5" s="1"/>
  <c r="G13" i="5"/>
  <c r="J13" i="5" s="1"/>
  <c r="H13" i="5"/>
  <c r="K13" i="5" s="1"/>
  <c r="O33" i="5" l="1"/>
  <c r="O35" i="5"/>
  <c r="Q48" i="5" s="1"/>
  <c r="P35" i="5"/>
  <c r="R48" i="5" s="1"/>
  <c r="P33" i="5"/>
  <c r="H10" i="5"/>
  <c r="K10" i="5" s="1"/>
  <c r="G10" i="5"/>
  <c r="J10" i="5" s="1"/>
  <c r="F10" i="5"/>
  <c r="I10" i="5" s="1"/>
  <c r="E10" i="5"/>
  <c r="D10" i="5"/>
  <c r="H9" i="5"/>
  <c r="K9" i="5" s="1"/>
  <c r="G9" i="5"/>
  <c r="J9" i="5" s="1"/>
  <c r="F9" i="5"/>
  <c r="I9" i="5" s="1"/>
  <c r="E9" i="5"/>
  <c r="D9" i="5"/>
  <c r="H8" i="5"/>
  <c r="K8" i="5" s="1"/>
  <c r="G8" i="5"/>
  <c r="J8" i="5" s="1"/>
  <c r="F8" i="5"/>
  <c r="I8" i="5" s="1"/>
  <c r="E8" i="5"/>
  <c r="D8" i="5"/>
  <c r="H7" i="5"/>
  <c r="K7" i="5" s="1"/>
  <c r="G7" i="5"/>
  <c r="J7" i="5" s="1"/>
  <c r="F7" i="5"/>
  <c r="I7" i="5" s="1"/>
  <c r="E7" i="5"/>
  <c r="D7" i="5"/>
  <c r="H6" i="5"/>
  <c r="K6" i="5" s="1"/>
  <c r="G6" i="5"/>
  <c r="J6" i="5" s="1"/>
  <c r="F6" i="5"/>
  <c r="I6" i="5" s="1"/>
  <c r="E6" i="5"/>
  <c r="D6" i="5"/>
  <c r="H5" i="5"/>
  <c r="K5" i="5" s="1"/>
  <c r="G5" i="5"/>
  <c r="J5" i="5" s="1"/>
  <c r="F5" i="5"/>
  <c r="I5" i="5" s="1"/>
  <c r="E5" i="5"/>
  <c r="D5" i="5"/>
  <c r="O7" i="5" l="1"/>
  <c r="P7" i="5"/>
  <c r="AA34" i="1"/>
  <c r="AA33" i="1"/>
  <c r="AA32" i="1"/>
  <c r="AA35" i="1" l="1"/>
  <c r="T48" i="1"/>
  <c r="S48" i="1"/>
  <c r="AA36" i="1" s="1"/>
  <c r="R48" i="1"/>
  <c r="T46" i="1"/>
  <c r="R39" i="1"/>
  <c r="S46" i="1"/>
  <c r="R46" i="1"/>
  <c r="T16" i="1"/>
  <c r="S16" i="1"/>
  <c r="R16" i="1"/>
  <c r="T14" i="1"/>
  <c r="S14" i="1"/>
  <c r="R14" i="1"/>
  <c r="S39" i="1" l="1"/>
  <c r="R49" i="1"/>
  <c r="S49" i="1"/>
  <c r="T49" i="1"/>
  <c r="L27" i="1"/>
  <c r="M27" i="1"/>
  <c r="N27" i="1"/>
  <c r="O27" i="1"/>
  <c r="AN58" i="4" l="1"/>
  <c r="AI56" i="4"/>
  <c r="AH46" i="4"/>
  <c r="AJ46" i="4"/>
  <c r="AJ105" i="4"/>
  <c r="P29" i="5" l="1"/>
  <c r="R47" i="5" s="1"/>
  <c r="O29" i="5"/>
  <c r="Q47" i="5" s="1"/>
  <c r="O36" i="5"/>
  <c r="O34" i="5"/>
  <c r="P36" i="5"/>
  <c r="P34" i="5"/>
  <c r="O30" i="5" l="1"/>
  <c r="O28" i="5"/>
  <c r="P30" i="5"/>
  <c r="P28" i="5"/>
  <c r="P9" i="5" l="1"/>
  <c r="R44" i="5" s="1"/>
  <c r="O9" i="5"/>
  <c r="Q44" i="5" s="1"/>
  <c r="P23" i="5"/>
  <c r="P21" i="5"/>
  <c r="O23" i="5"/>
  <c r="O21" i="5"/>
  <c r="H17" i="5"/>
  <c r="K17" i="5" s="1"/>
  <c r="G17" i="5"/>
  <c r="J17" i="5" s="1"/>
  <c r="F17" i="5"/>
  <c r="I17" i="5" s="1"/>
  <c r="E17" i="5"/>
  <c r="D17" i="5"/>
  <c r="H16" i="5"/>
  <c r="K16" i="5" s="1"/>
  <c r="G16" i="5"/>
  <c r="J16" i="5" s="1"/>
  <c r="F16" i="5"/>
  <c r="I16" i="5" s="1"/>
  <c r="E16" i="5"/>
  <c r="D16" i="5"/>
  <c r="H15" i="5"/>
  <c r="K15" i="5" s="1"/>
  <c r="G15" i="5"/>
  <c r="J15" i="5" s="1"/>
  <c r="F15" i="5"/>
  <c r="I15" i="5" s="1"/>
  <c r="E15" i="5"/>
  <c r="D15" i="5"/>
  <c r="H14" i="5"/>
  <c r="K14" i="5" s="1"/>
  <c r="G14" i="5"/>
  <c r="J14" i="5" s="1"/>
  <c r="F14" i="5"/>
  <c r="I14" i="5" s="1"/>
  <c r="E14" i="5"/>
  <c r="D14" i="5"/>
  <c r="H12" i="5"/>
  <c r="K12" i="5" s="1"/>
  <c r="G12" i="5"/>
  <c r="J12" i="5" s="1"/>
  <c r="F12" i="5"/>
  <c r="I12" i="5" s="1"/>
  <c r="E12" i="5"/>
  <c r="D12" i="5"/>
  <c r="H11" i="5"/>
  <c r="K11" i="5" s="1"/>
  <c r="G11" i="5"/>
  <c r="J11" i="5" s="1"/>
  <c r="F11" i="5"/>
  <c r="I11" i="5" s="1"/>
  <c r="E11" i="5"/>
  <c r="D11" i="5"/>
  <c r="P14" i="5" l="1"/>
  <c r="O14" i="5"/>
  <c r="P16" i="5"/>
  <c r="R45" i="5" s="1"/>
  <c r="O16" i="5"/>
  <c r="Q45" i="5" s="1"/>
  <c r="O8" i="5"/>
  <c r="O10" i="5"/>
  <c r="P10" i="5"/>
  <c r="P8" i="5"/>
  <c r="P17" i="5" l="1"/>
  <c r="P15" i="5"/>
  <c r="O17" i="5"/>
  <c r="O15" i="5"/>
  <c r="L7" i="2"/>
  <c r="T5" i="2" s="1"/>
  <c r="M7" i="2"/>
  <c r="R5" i="2" s="1"/>
  <c r="N7" i="2"/>
  <c r="S5" i="2" s="1"/>
  <c r="O7" i="2"/>
  <c r="L8" i="2"/>
  <c r="M8" i="2"/>
  <c r="N8" i="2"/>
  <c r="O8" i="2"/>
  <c r="L9" i="2"/>
  <c r="M9" i="2"/>
  <c r="N9" i="2"/>
  <c r="O9" i="2"/>
  <c r="L10" i="2"/>
  <c r="M10" i="2"/>
  <c r="N10" i="2"/>
  <c r="O10" i="2"/>
  <c r="M6" i="2"/>
  <c r="N6" i="2"/>
  <c r="O6" i="2"/>
  <c r="L6" i="2"/>
  <c r="R7" i="2" l="1"/>
  <c r="T7" i="2"/>
  <c r="S7" i="2"/>
  <c r="Z25" i="1"/>
  <c r="L5" i="1"/>
  <c r="M5" i="1"/>
  <c r="N5" i="1"/>
  <c r="O5" i="1"/>
  <c r="L6" i="1"/>
  <c r="M6" i="1"/>
  <c r="N6" i="1"/>
  <c r="O6" i="1"/>
  <c r="L7" i="1"/>
  <c r="M7" i="1"/>
  <c r="N7" i="1"/>
  <c r="O7" i="1"/>
  <c r="L8" i="1"/>
  <c r="M8" i="1"/>
  <c r="N8" i="1"/>
  <c r="O8" i="1"/>
  <c r="L9" i="1"/>
  <c r="M9" i="1"/>
  <c r="N9" i="1"/>
  <c r="O9" i="1"/>
  <c r="L10" i="1"/>
  <c r="M10" i="1"/>
  <c r="N10" i="1"/>
  <c r="O10" i="1"/>
  <c r="L11" i="1"/>
  <c r="M11" i="1"/>
  <c r="N11" i="1"/>
  <c r="O11" i="1"/>
  <c r="L12" i="1"/>
  <c r="M12" i="1"/>
  <c r="N12" i="1"/>
  <c r="O12" i="1"/>
  <c r="M4" i="1"/>
  <c r="N4" i="1"/>
  <c r="O4" i="1"/>
  <c r="L4" i="1"/>
  <c r="S8" i="2" l="1"/>
  <c r="AC15" i="2"/>
  <c r="AD15" i="2"/>
  <c r="T5" i="1"/>
  <c r="T7" i="1"/>
  <c r="S7" i="1"/>
  <c r="S5" i="1"/>
  <c r="R7" i="1"/>
  <c r="R5" i="1"/>
  <c r="Z23" i="1"/>
  <c r="Z22" i="1"/>
  <c r="L22" i="1"/>
  <c r="M22" i="1"/>
  <c r="N22" i="1"/>
  <c r="O22" i="1"/>
  <c r="L23" i="1"/>
  <c r="M23" i="1"/>
  <c r="N23" i="1"/>
  <c r="O23" i="1"/>
  <c r="L24" i="1"/>
  <c r="M24" i="1"/>
  <c r="N24" i="1"/>
  <c r="O24" i="1"/>
  <c r="L25" i="1"/>
  <c r="M25" i="1"/>
  <c r="N25" i="1"/>
  <c r="O25" i="1"/>
  <c r="L26" i="1"/>
  <c r="M26" i="1"/>
  <c r="N26" i="1"/>
  <c r="O26" i="1"/>
  <c r="L28" i="1"/>
  <c r="M28" i="1"/>
  <c r="N28" i="1"/>
  <c r="O28" i="1"/>
  <c r="L29" i="1"/>
  <c r="M29" i="1"/>
  <c r="N29" i="1"/>
  <c r="O29" i="1"/>
  <c r="L30" i="1"/>
  <c r="M30" i="1"/>
  <c r="N30" i="1"/>
  <c r="O30" i="1"/>
  <c r="L31" i="1"/>
  <c r="M31" i="1"/>
  <c r="N31" i="1"/>
  <c r="O31" i="1"/>
  <c r="M21" i="1"/>
  <c r="N21" i="1"/>
  <c r="O21" i="1"/>
  <c r="L21" i="1"/>
  <c r="S22" i="1" l="1"/>
  <c r="S24" i="1"/>
  <c r="R22" i="1"/>
  <c r="R24" i="1"/>
  <c r="T22" i="1"/>
  <c r="T24" i="1"/>
  <c r="AA22" i="1"/>
  <c r="S6" i="1"/>
  <c r="R6" i="1"/>
  <c r="Y22" i="1"/>
  <c r="T6" i="1"/>
  <c r="J31" i="2"/>
  <c r="O31" i="2" s="1"/>
  <c r="I31" i="2"/>
  <c r="N31" i="2" s="1"/>
  <c r="H31" i="2"/>
  <c r="M31" i="2" s="1"/>
  <c r="G31" i="2"/>
  <c r="L31" i="2" s="1"/>
  <c r="F31" i="2"/>
  <c r="E31" i="2"/>
  <c r="J30" i="2"/>
  <c r="O30" i="2" s="1"/>
  <c r="I30" i="2"/>
  <c r="N30" i="2" s="1"/>
  <c r="H30" i="2"/>
  <c r="M30" i="2" s="1"/>
  <c r="G30" i="2"/>
  <c r="L30" i="2" s="1"/>
  <c r="F30" i="2"/>
  <c r="E30" i="2"/>
  <c r="J29" i="2"/>
  <c r="O29" i="2" s="1"/>
  <c r="I29" i="2"/>
  <c r="N29" i="2" s="1"/>
  <c r="H29" i="2"/>
  <c r="M29" i="2" s="1"/>
  <c r="G29" i="2"/>
  <c r="L29" i="2" s="1"/>
  <c r="F29" i="2"/>
  <c r="E29" i="2"/>
  <c r="J28" i="2"/>
  <c r="O28" i="2" s="1"/>
  <c r="I28" i="2"/>
  <c r="N28" i="2" s="1"/>
  <c r="H28" i="2"/>
  <c r="M28" i="2" s="1"/>
  <c r="G28" i="2"/>
  <c r="L28" i="2" s="1"/>
  <c r="F28" i="2"/>
  <c r="E28" i="2"/>
  <c r="J27" i="2"/>
  <c r="O27" i="2" s="1"/>
  <c r="I27" i="2"/>
  <c r="N27" i="2" s="1"/>
  <c r="H27" i="2"/>
  <c r="M27" i="2" s="1"/>
  <c r="G27" i="2"/>
  <c r="L27" i="2" s="1"/>
  <c r="F27" i="2"/>
  <c r="E27" i="2"/>
  <c r="R31" i="2" l="1"/>
  <c r="R10" i="1"/>
  <c r="R9" i="1"/>
  <c r="S9" i="1"/>
  <c r="S10" i="1"/>
  <c r="T9" i="1"/>
  <c r="T10" i="1"/>
  <c r="T29" i="2"/>
  <c r="S29" i="2"/>
  <c r="T31" i="2"/>
  <c r="S31" i="2"/>
  <c r="AC19" i="2" s="1"/>
  <c r="R29" i="2"/>
  <c r="R30" i="2" s="1"/>
  <c r="S30" i="2" l="1"/>
  <c r="AD19" i="2"/>
  <c r="W32" i="2"/>
  <c r="T32" i="2"/>
  <c r="S32" i="2"/>
  <c r="T30" i="2"/>
  <c r="Y32" i="2" s="1"/>
  <c r="R32" i="2"/>
  <c r="X32" i="2"/>
  <c r="J26" i="2"/>
  <c r="O26" i="2" s="1"/>
  <c r="I26" i="2"/>
  <c r="N26" i="2" s="1"/>
  <c r="H26" i="2"/>
  <c r="M26" i="2" s="1"/>
  <c r="G26" i="2"/>
  <c r="L26" i="2" s="1"/>
  <c r="F26" i="2"/>
  <c r="E26" i="2"/>
  <c r="J25" i="2"/>
  <c r="O25" i="2" s="1"/>
  <c r="I25" i="2"/>
  <c r="N25" i="2" s="1"/>
  <c r="H25" i="2"/>
  <c r="M25" i="2" s="1"/>
  <c r="G25" i="2"/>
  <c r="L25" i="2" s="1"/>
  <c r="F25" i="2"/>
  <c r="E25" i="2"/>
  <c r="J24" i="2"/>
  <c r="O24" i="2" s="1"/>
  <c r="I24" i="2"/>
  <c r="N24" i="2" s="1"/>
  <c r="H24" i="2"/>
  <c r="M24" i="2" s="1"/>
  <c r="G24" i="2"/>
  <c r="L24" i="2" s="1"/>
  <c r="F24" i="2"/>
  <c r="E24" i="2"/>
  <c r="J23" i="2"/>
  <c r="O23" i="2" s="1"/>
  <c r="I23" i="2"/>
  <c r="N23" i="2" s="1"/>
  <c r="H23" i="2"/>
  <c r="M23" i="2" s="1"/>
  <c r="G23" i="2"/>
  <c r="L23" i="2" s="1"/>
  <c r="F23" i="2"/>
  <c r="E23" i="2"/>
  <c r="J22" i="2"/>
  <c r="O22" i="2" s="1"/>
  <c r="I22" i="2"/>
  <c r="N22" i="2" s="1"/>
  <c r="H22" i="2"/>
  <c r="M22" i="2" s="1"/>
  <c r="G22" i="2"/>
  <c r="L22" i="2" s="1"/>
  <c r="F22" i="2"/>
  <c r="E22" i="2"/>
  <c r="R23" i="2" l="1"/>
  <c r="R25" i="2"/>
  <c r="S25" i="2"/>
  <c r="AC18" i="2" s="1"/>
  <c r="S23" i="2"/>
  <c r="T23" i="2"/>
  <c r="T24" i="2" s="1"/>
  <c r="T25" i="2"/>
  <c r="AD18" i="2" l="1"/>
  <c r="S26" i="2"/>
  <c r="Y26" i="2"/>
  <c r="T26" i="2"/>
  <c r="S24" i="2"/>
  <c r="X26" i="2" s="1"/>
  <c r="R24" i="2"/>
  <c r="W26" i="2" s="1"/>
  <c r="R26" i="2"/>
  <c r="M17" i="2" l="1"/>
  <c r="M18" i="2"/>
  <c r="M19" i="2"/>
  <c r="M20" i="2"/>
  <c r="M21" i="2"/>
  <c r="O21" i="2"/>
  <c r="L21" i="2"/>
  <c r="O20" i="2"/>
  <c r="L20" i="2"/>
  <c r="N39" i="4" l="1"/>
  <c r="N32" i="4"/>
  <c r="N25" i="4"/>
  <c r="AN60" i="4" l="1"/>
  <c r="AN59" i="4"/>
  <c r="AG46" i="4"/>
  <c r="AG47" i="4"/>
  <c r="AG48" i="4"/>
  <c r="AG49" i="4"/>
  <c r="AG50" i="4"/>
  <c r="AG51" i="4"/>
  <c r="AG103" i="4" l="1"/>
  <c r="AI103" i="4" s="1"/>
  <c r="AG102" i="4"/>
  <c r="AG101" i="4"/>
  <c r="AI101" i="4" s="1"/>
  <c r="AG100" i="4"/>
  <c r="AG99" i="4"/>
  <c r="AI99" i="4" s="1"/>
  <c r="AG98" i="4"/>
  <c r="AG97" i="4"/>
  <c r="AI97" i="4" s="1"/>
  <c r="AG96" i="4"/>
  <c r="AG95" i="4"/>
  <c r="AI95" i="4" s="1"/>
  <c r="AG94" i="4"/>
  <c r="AG93" i="4"/>
  <c r="AI93" i="4" s="1"/>
  <c r="AG92" i="4"/>
  <c r="AG91" i="4"/>
  <c r="AI91" i="4" s="1"/>
  <c r="AG90" i="4"/>
  <c r="AG89" i="4"/>
  <c r="AI89" i="4" s="1"/>
  <c r="U83" i="4"/>
  <c r="T83" i="4"/>
  <c r="AG82" i="4"/>
  <c r="AI82" i="4" s="1"/>
  <c r="U82" i="4"/>
  <c r="T82" i="4"/>
  <c r="AG81" i="4"/>
  <c r="AH81" i="4" s="1"/>
  <c r="U81" i="4"/>
  <c r="T81" i="4"/>
  <c r="AG80" i="4"/>
  <c r="AI80" i="4" s="1"/>
  <c r="U80" i="4"/>
  <c r="T80" i="4"/>
  <c r="AI79" i="4"/>
  <c r="AG79" i="4"/>
  <c r="AH79" i="4" s="1"/>
  <c r="U79" i="4"/>
  <c r="T79" i="4"/>
  <c r="AG78" i="4"/>
  <c r="AI78" i="4" s="1"/>
  <c r="U78" i="4"/>
  <c r="T78" i="4"/>
  <c r="AG77" i="4"/>
  <c r="AI77" i="4" s="1"/>
  <c r="U77" i="4"/>
  <c r="T77" i="4"/>
  <c r="M77" i="4"/>
  <c r="AG76" i="4"/>
  <c r="AI76" i="4" s="1"/>
  <c r="U76" i="4"/>
  <c r="T76" i="4"/>
  <c r="AG75" i="4"/>
  <c r="AI75" i="4" s="1"/>
  <c r="U75" i="4"/>
  <c r="T75" i="4"/>
  <c r="M75" i="4"/>
  <c r="AL37" i="4" s="1"/>
  <c r="AG74" i="4"/>
  <c r="AI74" i="4" s="1"/>
  <c r="U74" i="4"/>
  <c r="T74" i="4"/>
  <c r="AG73" i="4"/>
  <c r="AH73" i="4" s="1"/>
  <c r="U73" i="4"/>
  <c r="T73" i="4"/>
  <c r="AG72" i="4"/>
  <c r="AI72" i="4" s="1"/>
  <c r="U72" i="4"/>
  <c r="T72" i="4"/>
  <c r="AI71" i="4"/>
  <c r="AG71" i="4"/>
  <c r="U71" i="4"/>
  <c r="X77" i="4" s="1"/>
  <c r="AI40" i="4" s="1"/>
  <c r="T71" i="4"/>
  <c r="X75" i="4" s="1"/>
  <c r="AG70" i="4"/>
  <c r="AI70" i="4" s="1"/>
  <c r="U70" i="4"/>
  <c r="T70" i="4"/>
  <c r="AI69" i="4"/>
  <c r="AG69" i="4"/>
  <c r="AH69" i="4" s="1"/>
  <c r="U69" i="4"/>
  <c r="T69" i="4"/>
  <c r="AG68" i="4"/>
  <c r="AI68" i="4" s="1"/>
  <c r="U68" i="4"/>
  <c r="T68" i="4"/>
  <c r="U67" i="4"/>
  <c r="T67" i="4"/>
  <c r="U66" i="4"/>
  <c r="T66" i="4"/>
  <c r="U65" i="4"/>
  <c r="T65" i="4"/>
  <c r="M65" i="4"/>
  <c r="Q37" i="4" s="1"/>
  <c r="U64" i="4"/>
  <c r="T64" i="4"/>
  <c r="U63" i="4"/>
  <c r="T63" i="4"/>
  <c r="M63" i="4"/>
  <c r="AI59" i="4" s="1"/>
  <c r="U62" i="4"/>
  <c r="T62" i="4"/>
  <c r="U61" i="4"/>
  <c r="X63" i="4" s="1"/>
  <c r="T61" i="4"/>
  <c r="AH60" i="4"/>
  <c r="AG60" i="4"/>
  <c r="AI60" i="4" s="1"/>
  <c r="U60" i="4"/>
  <c r="T60" i="4"/>
  <c r="X65" i="4" s="1"/>
  <c r="Q40" i="4" s="1"/>
  <c r="AG59" i="4"/>
  <c r="U59" i="4"/>
  <c r="T59" i="4"/>
  <c r="AG58" i="4"/>
  <c r="AI58" i="4" s="1"/>
  <c r="U58" i="4"/>
  <c r="T58" i="4"/>
  <c r="AG57" i="4"/>
  <c r="AH57" i="4" s="1"/>
  <c r="U57" i="4"/>
  <c r="T57" i="4"/>
  <c r="AH56" i="4"/>
  <c r="AG56" i="4"/>
  <c r="U56" i="4"/>
  <c r="T56" i="4"/>
  <c r="AG55" i="4"/>
  <c r="U55" i="4"/>
  <c r="T55" i="4"/>
  <c r="AG54" i="4"/>
  <c r="AI54" i="4" s="1"/>
  <c r="U54" i="4"/>
  <c r="T54" i="4"/>
  <c r="AG53" i="4"/>
  <c r="AI53" i="4" s="1"/>
  <c r="U53" i="4"/>
  <c r="T53" i="4"/>
  <c r="M53" i="4"/>
  <c r="Z37" i="4" s="1"/>
  <c r="AG52" i="4"/>
  <c r="AI52" i="4" s="1"/>
  <c r="U52" i="4"/>
  <c r="T52" i="4"/>
  <c r="AI51" i="4"/>
  <c r="U51" i="4"/>
  <c r="T51" i="4"/>
  <c r="X51" i="4" s="1"/>
  <c r="M51" i="4"/>
  <c r="M54" i="4" s="1"/>
  <c r="AI50" i="4"/>
  <c r="U50" i="4"/>
  <c r="X53" i="4" s="1"/>
  <c r="Z40" i="4" s="1"/>
  <c r="T50" i="4"/>
  <c r="AH49" i="4"/>
  <c r="U49" i="4"/>
  <c r="T49" i="4"/>
  <c r="AH48" i="4"/>
  <c r="AI47" i="4"/>
  <c r="AI46" i="4"/>
  <c r="N38" i="4"/>
  <c r="AI37" i="4" s="1"/>
  <c r="N36" i="4"/>
  <c r="AH71" i="4" s="1"/>
  <c r="N31" i="4"/>
  <c r="N29" i="4"/>
  <c r="AH59" i="4" s="1"/>
  <c r="N24" i="4"/>
  <c r="N22" i="4"/>
  <c r="N23" i="4" s="1"/>
  <c r="AJ59" i="4" l="1"/>
  <c r="AJ60" i="4"/>
  <c r="AJ56" i="4"/>
  <c r="AJ74" i="4"/>
  <c r="X54" i="4"/>
  <c r="X52" i="4"/>
  <c r="AJ79" i="4"/>
  <c r="AJ93" i="4"/>
  <c r="X66" i="4"/>
  <c r="X64" i="4"/>
  <c r="T40" i="4"/>
  <c r="AJ70" i="4"/>
  <c r="AJ71" i="4"/>
  <c r="AJ69" i="4"/>
  <c r="AJ91" i="4"/>
  <c r="AJ68" i="4"/>
  <c r="X78" i="4"/>
  <c r="X76" i="4"/>
  <c r="AL40" i="4"/>
  <c r="AJ95" i="4"/>
  <c r="AC40" i="4"/>
  <c r="AH50" i="4"/>
  <c r="AJ50" i="4" s="1"/>
  <c r="AH53" i="4"/>
  <c r="AJ53" i="4" s="1"/>
  <c r="M76" i="4"/>
  <c r="M78" i="4"/>
  <c r="AI81" i="4"/>
  <c r="AJ81" i="4" s="1"/>
  <c r="AH90" i="4"/>
  <c r="AH92" i="4"/>
  <c r="AH94" i="4"/>
  <c r="AH96" i="4"/>
  <c r="AH98" i="4"/>
  <c r="AH100" i="4"/>
  <c r="AH102" i="4"/>
  <c r="N37" i="4"/>
  <c r="AC37" i="4"/>
  <c r="AH68" i="4"/>
  <c r="AH72" i="4"/>
  <c r="AJ72" i="4" s="1"/>
  <c r="AH80" i="4"/>
  <c r="AJ80" i="4" s="1"/>
  <c r="AI90" i="4"/>
  <c r="AI92" i="4"/>
  <c r="AI94" i="4"/>
  <c r="AI96" i="4"/>
  <c r="AI98" i="4"/>
  <c r="AJ98" i="4" s="1"/>
  <c r="AI100" i="4"/>
  <c r="AJ100" i="4" s="1"/>
  <c r="AI102" i="4"/>
  <c r="AJ102" i="4" s="1"/>
  <c r="AI49" i="4"/>
  <c r="AJ49" i="4" s="1"/>
  <c r="T37" i="4"/>
  <c r="N30" i="4"/>
  <c r="AH47" i="4"/>
  <c r="AJ47" i="4" s="1"/>
  <c r="AH51" i="4"/>
  <c r="AJ51" i="4" s="1"/>
  <c r="AH52" i="4"/>
  <c r="AJ52" i="4" s="1"/>
  <c r="AH54" i="4"/>
  <c r="AJ54" i="4" s="1"/>
  <c r="AH58" i="4"/>
  <c r="AJ58" i="4" s="1"/>
  <c r="M64" i="4"/>
  <c r="M66" i="4"/>
  <c r="AI73" i="4"/>
  <c r="AJ73" i="4" s="1"/>
  <c r="M52" i="4"/>
  <c r="AI57" i="4"/>
  <c r="AJ57" i="4" s="1"/>
  <c r="AH89" i="4"/>
  <c r="AJ89" i="4" s="1"/>
  <c r="AH91" i="4"/>
  <c r="AH93" i="4"/>
  <c r="AH95" i="4"/>
  <c r="AH97" i="4"/>
  <c r="AJ97" i="4" s="1"/>
  <c r="AH99" i="4"/>
  <c r="AJ99" i="4" s="1"/>
  <c r="AH101" i="4"/>
  <c r="AJ101" i="4" s="1"/>
  <c r="AH103" i="4"/>
  <c r="AJ103" i="4" s="1"/>
  <c r="AI48" i="4"/>
  <c r="AJ48" i="4" s="1"/>
  <c r="AH70" i="4"/>
  <c r="AH74" i="4"/>
  <c r="AH75" i="4"/>
  <c r="AJ75" i="4" s="1"/>
  <c r="AH76" i="4"/>
  <c r="AJ76" i="4" s="1"/>
  <c r="AH77" i="4"/>
  <c r="AJ77" i="4" s="1"/>
  <c r="AH78" i="4"/>
  <c r="AJ78" i="4" s="1"/>
  <c r="AH82" i="4"/>
  <c r="AJ82" i="4" s="1"/>
  <c r="AH55" i="4"/>
  <c r="AI55" i="4"/>
  <c r="AJ84" i="4" l="1"/>
  <c r="AJ94" i="4"/>
  <c r="AJ92" i="4"/>
  <c r="AJ96" i="4"/>
  <c r="AJ55" i="4"/>
  <c r="AJ62" i="4" s="1"/>
  <c r="AJ90" i="4"/>
  <c r="AC16" i="2" l="1"/>
  <c r="AD16" i="2" l="1"/>
  <c r="S12" i="2"/>
  <c r="T12" i="2"/>
  <c r="R12" i="2"/>
  <c r="O19" i="2"/>
  <c r="L19" i="2"/>
  <c r="L18" i="2"/>
  <c r="O18" i="2"/>
  <c r="O17" i="2"/>
  <c r="L17" i="2"/>
  <c r="Y15" i="2" l="1"/>
  <c r="Y14" i="2"/>
  <c r="AC17" i="2"/>
  <c r="R19" i="2"/>
  <c r="R17" i="2"/>
  <c r="R18" i="2" s="1"/>
  <c r="T19" i="2"/>
  <c r="T17" i="2"/>
  <c r="R6" i="2"/>
  <c r="T8" i="2"/>
  <c r="R8" i="2"/>
  <c r="T6" i="2"/>
  <c r="S6" i="2"/>
  <c r="AD17" i="2" l="1"/>
  <c r="W20" i="2"/>
  <c r="S20" i="2"/>
  <c r="R20" i="2"/>
  <c r="T18" i="2"/>
  <c r="Y20" i="2" s="1"/>
  <c r="T20" i="2"/>
  <c r="S18" i="2"/>
  <c r="X20" i="2" s="1"/>
  <c r="R23" i="1" l="1"/>
  <c r="Z24" i="1" l="1"/>
  <c r="R26" i="1"/>
  <c r="R27" i="1"/>
  <c r="S23" i="1"/>
  <c r="AA24" i="1"/>
  <c r="T23" i="1"/>
  <c r="Y24" i="1"/>
  <c r="AA26" i="1" l="1"/>
  <c r="T27" i="1"/>
  <c r="T26" i="1"/>
  <c r="S27" i="1"/>
  <c r="S26" i="1"/>
  <c r="T37" i="1"/>
  <c r="R37" i="1"/>
  <c r="R47" i="1"/>
  <c r="Y26" i="1" l="1"/>
  <c r="Z26" i="1"/>
  <c r="R51" i="1"/>
  <c r="R50" i="1"/>
  <c r="S47" i="1"/>
  <c r="S51" i="1" s="1"/>
  <c r="AA25" i="1"/>
  <c r="R41" i="1"/>
  <c r="T41" i="1"/>
  <c r="Y25" i="1"/>
  <c r="S37" i="1"/>
  <c r="T47" i="1"/>
  <c r="T51" i="1" s="1"/>
  <c r="T50" i="1" l="1"/>
  <c r="S50" i="1"/>
  <c r="Z36" i="1"/>
  <c r="S41" i="1"/>
  <c r="Y23" i="1" l="1"/>
  <c r="R15" i="1"/>
  <c r="AA23" i="1"/>
  <c r="T15" i="1"/>
  <c r="T19" i="1" l="1"/>
  <c r="T18" i="1"/>
  <c r="R18" i="1"/>
  <c r="R19" i="1"/>
  <c r="S15" i="1"/>
  <c r="S19" i="1" l="1"/>
  <c r="S18" i="1"/>
</calcChain>
</file>

<file path=xl/sharedStrings.xml><?xml version="1.0" encoding="utf-8"?>
<sst xmlns="http://schemas.openxmlformats.org/spreadsheetml/2006/main" count="747" uniqueCount="300">
  <si>
    <t>ID</t>
  </si>
  <si>
    <r>
      <t>S</t>
    </r>
    <r>
      <rPr>
        <b/>
        <vertAlign val="subscript"/>
        <sz val="11"/>
        <color theme="1"/>
        <rFont val="Calibri"/>
        <family val="2"/>
        <scheme val="minor"/>
      </rPr>
      <t>0</t>
    </r>
  </si>
  <si>
    <t>Δε</t>
  </si>
  <si>
    <r>
      <t>N</t>
    </r>
    <r>
      <rPr>
        <b/>
        <vertAlign val="subscript"/>
        <sz val="11"/>
        <color theme="1"/>
        <rFont val="Calibri"/>
        <family val="2"/>
        <scheme val="minor"/>
      </rPr>
      <t>f, 50%</t>
    </r>
  </si>
  <si>
    <r>
      <t>N</t>
    </r>
    <r>
      <rPr>
        <b/>
        <vertAlign val="subscript"/>
        <sz val="10"/>
        <rFont val="Calibri"/>
        <family val="2"/>
        <scheme val="minor"/>
      </rPr>
      <t>f, ER</t>
    </r>
  </si>
  <si>
    <r>
      <t>N</t>
    </r>
    <r>
      <rPr>
        <b/>
        <vertAlign val="subscript"/>
        <sz val="10"/>
        <rFont val="Calibri"/>
        <family val="2"/>
        <scheme val="minor"/>
      </rPr>
      <t>f, ROTTURA</t>
    </r>
  </si>
  <si>
    <r>
      <t>log</t>
    </r>
    <r>
      <rPr>
        <b/>
        <vertAlign val="subscript"/>
        <sz val="11"/>
        <color theme="1"/>
        <rFont val="Calibri"/>
        <family val="2"/>
        <scheme val="minor"/>
      </rPr>
      <t xml:space="preserve">10 </t>
    </r>
    <r>
      <rPr>
        <b/>
        <sz val="11"/>
        <color theme="1"/>
        <rFont val="Calibri"/>
        <family val="2"/>
        <scheme val="minor"/>
      </rPr>
      <t>N</t>
    </r>
    <r>
      <rPr>
        <b/>
        <vertAlign val="subscript"/>
        <sz val="11"/>
        <color theme="1"/>
        <rFont val="Calibri"/>
        <family val="2"/>
        <scheme val="minor"/>
      </rPr>
      <t>f, 50%</t>
    </r>
  </si>
  <si>
    <r>
      <t>log</t>
    </r>
    <r>
      <rPr>
        <b/>
        <vertAlign val="subscript"/>
        <sz val="10"/>
        <rFont val="Calibri"/>
        <family val="2"/>
        <scheme val="minor"/>
      </rPr>
      <t xml:space="preserve">10 </t>
    </r>
    <r>
      <rPr>
        <b/>
        <sz val="10"/>
        <rFont val="Calibri"/>
        <family val="2"/>
        <scheme val="minor"/>
      </rPr>
      <t>N</t>
    </r>
    <r>
      <rPr>
        <b/>
        <vertAlign val="subscript"/>
        <sz val="10"/>
        <rFont val="Calibri"/>
        <family val="2"/>
        <scheme val="minor"/>
      </rPr>
      <t>f, ER</t>
    </r>
  </si>
  <si>
    <t>[MPa]</t>
  </si>
  <si>
    <t>[kPa]</t>
  </si>
  <si>
    <t>[μm/m]</t>
  </si>
  <si>
    <t>[%]</t>
  </si>
  <si>
    <t>[-]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</si>
  <si>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 xml:space="preserve"> k</t>
    </r>
    <r>
      <rPr>
        <b/>
        <vertAlign val="subscript"/>
        <sz val="11"/>
        <color theme="1"/>
        <rFont val="Calibri"/>
        <family val="2"/>
        <scheme val="minor"/>
      </rPr>
      <t>ε</t>
    </r>
    <r>
      <rPr>
        <b/>
        <sz val="11"/>
        <color theme="1"/>
        <rFont val="Calibri"/>
        <family val="2"/>
        <scheme val="minor"/>
      </rPr>
      <t xml:space="preserve"> [-]</t>
    </r>
  </si>
  <si>
    <t>kε [-]</t>
  </si>
  <si>
    <r>
      <t>n</t>
    </r>
    <r>
      <rPr>
        <b/>
        <vertAlign val="subscript"/>
        <sz val="11"/>
        <color theme="1"/>
        <rFont val="Calibri"/>
        <family val="2"/>
        <scheme val="minor"/>
      </rPr>
      <t>ε</t>
    </r>
    <r>
      <rPr>
        <b/>
        <sz val="11"/>
        <color theme="1"/>
        <rFont val="Calibri"/>
        <family val="2"/>
        <scheme val="minor"/>
      </rPr>
      <t xml:space="preserve"> [-]</t>
    </r>
  </si>
  <si>
    <t>Miscela</t>
  </si>
  <si>
    <t>B2</t>
  </si>
  <si>
    <t>B5</t>
  </si>
  <si>
    <t>B6</t>
  </si>
  <si>
    <t>B8</t>
  </si>
  <si>
    <t>B11</t>
  </si>
  <si>
    <t>B12</t>
  </si>
  <si>
    <t>B15</t>
  </si>
  <si>
    <t>C4</t>
  </si>
  <si>
    <t>C5</t>
  </si>
  <si>
    <t>C6</t>
  </si>
  <si>
    <t>C7</t>
  </si>
  <si>
    <t>C8</t>
  </si>
  <si>
    <t>C9</t>
  </si>
  <si>
    <t>C10</t>
  </si>
  <si>
    <t>C11</t>
  </si>
  <si>
    <t>C14</t>
  </si>
  <si>
    <t>C15</t>
  </si>
  <si>
    <t>D3</t>
  </si>
  <si>
    <t>D4</t>
  </si>
  <si>
    <t>D5</t>
  </si>
  <si>
    <t>D6</t>
  </si>
  <si>
    <t>D9</t>
  </si>
  <si>
    <t>D10</t>
  </si>
  <si>
    <t>D14</t>
  </si>
  <si>
    <t>D15</t>
  </si>
  <si>
    <t>E1</t>
  </si>
  <si>
    <t>E2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</si>
  <si>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</si>
  <si>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</si>
  <si>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</si>
  <si>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</si>
  <si>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</si>
  <si>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</si>
  <si>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</si>
  <si>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</si>
  <si>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</si>
  <si>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MISCELA</t>
  </si>
  <si>
    <r>
      <rPr>
        <b/>
        <sz val="11"/>
        <color theme="1"/>
        <rFont val="Calibri"/>
        <family val="2"/>
      </rPr>
      <t>ε</t>
    </r>
    <r>
      <rPr>
        <b/>
        <vertAlign val="subscript"/>
        <sz val="12.1"/>
        <color theme="1"/>
        <rFont val="Calibri"/>
        <family val="2"/>
      </rPr>
      <t>0</t>
    </r>
  </si>
  <si>
    <r>
      <t>log</t>
    </r>
    <r>
      <rPr>
        <b/>
        <vertAlign val="subscript"/>
        <sz val="11"/>
        <color theme="1"/>
        <rFont val="Calibri"/>
        <family val="2"/>
        <scheme val="minor"/>
      </rPr>
      <t xml:space="preserve">10 </t>
    </r>
    <r>
      <rPr>
        <b/>
        <sz val="11"/>
        <color theme="1"/>
        <rFont val="Calibri"/>
        <family val="2"/>
      </rPr>
      <t>ε</t>
    </r>
    <r>
      <rPr>
        <b/>
        <vertAlign val="subscript"/>
        <sz val="12.1"/>
        <color theme="1"/>
        <rFont val="Calibri"/>
        <family val="2"/>
      </rPr>
      <t>0</t>
    </r>
  </si>
  <si>
    <t>E13</t>
  </si>
  <si>
    <t>E14</t>
  </si>
  <si>
    <t>E15</t>
  </si>
  <si>
    <r>
      <t>ε</t>
    </r>
    <r>
      <rPr>
        <b/>
        <vertAlign val="subscript"/>
        <sz val="11"/>
        <color theme="1"/>
        <rFont val="Calibri"/>
        <family val="2"/>
      </rPr>
      <t>6</t>
    </r>
    <r>
      <rPr>
        <b/>
        <sz val="11"/>
        <color theme="1"/>
        <rFont val="Calibri"/>
        <family val="2"/>
      </rPr>
      <t xml:space="preserve"> [μm/m]</t>
    </r>
  </si>
  <si>
    <t>A13</t>
  </si>
  <si>
    <t>A16</t>
  </si>
  <si>
    <t>B7</t>
  </si>
  <si>
    <t>B16</t>
  </si>
  <si>
    <t>CIT-CY</t>
  </si>
  <si>
    <t>log</t>
  </si>
  <si>
    <r>
      <rPr>
        <b/>
        <sz val="11"/>
        <color theme="1"/>
        <rFont val="Calibri"/>
        <family val="2"/>
      </rPr>
      <t>σ</t>
    </r>
    <r>
      <rPr>
        <b/>
        <vertAlign val="subscript"/>
        <sz val="13.2"/>
        <color theme="1"/>
        <rFont val="Calibri"/>
        <family val="2"/>
      </rPr>
      <t>0</t>
    </r>
  </si>
  <si>
    <r>
      <t>ε</t>
    </r>
    <r>
      <rPr>
        <b/>
        <vertAlign val="subscript"/>
        <sz val="11"/>
        <color theme="1"/>
        <rFont val="Calibri"/>
        <family val="2"/>
      </rPr>
      <t>a</t>
    </r>
  </si>
  <si>
    <r>
      <rPr>
        <b/>
        <sz val="11"/>
        <color theme="1"/>
        <rFont val="Aptos Narrow"/>
        <family val="2"/>
      </rPr>
      <t>Δ</t>
    </r>
    <r>
      <rPr>
        <b/>
        <sz val="11"/>
        <color theme="1"/>
        <rFont val="Calibri"/>
        <family val="2"/>
        <scheme val="minor"/>
      </rPr>
      <t>ε</t>
    </r>
    <r>
      <rPr>
        <b/>
        <vertAlign val="subscript"/>
        <sz val="11"/>
        <color theme="1"/>
        <rFont val="Calibri"/>
        <family val="2"/>
        <scheme val="minor"/>
      </rPr>
      <t>a</t>
    </r>
  </si>
  <si>
    <r>
      <t>N</t>
    </r>
    <r>
      <rPr>
        <b/>
        <vertAlign val="subscript"/>
        <sz val="11"/>
        <color theme="1"/>
        <rFont val="Calibri"/>
        <family val="2"/>
        <scheme val="minor"/>
      </rPr>
      <t>f,50%</t>
    </r>
  </si>
  <si>
    <t>(kPa)</t>
  </si>
  <si>
    <r>
      <t>(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m/m)</t>
    </r>
  </si>
  <si>
    <t>(-)</t>
  </si>
  <si>
    <t>(MPa)</t>
  </si>
  <si>
    <r>
      <t>N</t>
    </r>
    <r>
      <rPr>
        <b/>
        <vertAlign val="subscript"/>
        <sz val="10"/>
        <rFont val="Calibri"/>
        <family val="2"/>
        <scheme val="minor"/>
      </rPr>
      <t>f, 50%</t>
    </r>
  </si>
  <si>
    <t>FAT 1 SP1</t>
  </si>
  <si>
    <t>FAT 3 SP1</t>
  </si>
  <si>
    <t>FAT 4 SP1</t>
  </si>
  <si>
    <t>FAT 6 SP1</t>
  </si>
  <si>
    <t>FAT 2 SP1</t>
  </si>
  <si>
    <t>FAT 5 SP1</t>
  </si>
  <si>
    <t>FAT 1 SP2</t>
  </si>
  <si>
    <t>FAT 6 SP2</t>
  </si>
  <si>
    <t>FAT 3 SP2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</si>
  <si>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ε</t>
    </r>
    <r>
      <rPr>
        <b/>
        <sz val="11"/>
        <color theme="1"/>
        <rFont val="Calibri"/>
        <family val="2"/>
        <scheme val="minor"/>
      </rPr>
      <t xml:space="preserve"> [-]</t>
    </r>
  </si>
  <si>
    <t>FAT 5 SP2</t>
  </si>
  <si>
    <t xml:space="preserve">FAT 4 SP2 </t>
  </si>
  <si>
    <t>FAT 2 SP2</t>
  </si>
  <si>
    <t>FAT 1 PMB</t>
  </si>
  <si>
    <t>FAT 2 PMB</t>
  </si>
  <si>
    <t>SP2-50</t>
  </si>
  <si>
    <t>SP1-50</t>
  </si>
  <si>
    <t>PMB-50</t>
  </si>
  <si>
    <t>FAT 4 PMB</t>
  </si>
  <si>
    <t>FAT 6 PMB</t>
  </si>
  <si>
    <r>
      <rPr>
        <b/>
        <sz val="11"/>
        <color theme="1"/>
        <rFont val="Aptos Narrow"/>
        <family val="2"/>
      </rPr>
      <t>Δn</t>
    </r>
    <r>
      <rPr>
        <b/>
        <vertAlign val="subscript"/>
        <sz val="11"/>
        <color theme="1"/>
        <rFont val="Calibri"/>
        <family val="2"/>
      </rPr>
      <t>ε</t>
    </r>
    <r>
      <rPr>
        <b/>
        <vertAlign val="subscript"/>
        <sz val="12.1"/>
        <color theme="1"/>
        <rFont val="Aptos Narrow"/>
        <family val="2"/>
      </rPr>
      <t xml:space="preserve"> </t>
    </r>
    <r>
      <rPr>
        <b/>
        <sz val="12.1"/>
        <color theme="1"/>
        <rFont val="Aptos Narrow"/>
        <family val="2"/>
      </rPr>
      <t>[%]</t>
    </r>
  </si>
  <si>
    <r>
      <rPr>
        <b/>
        <sz val="11"/>
        <color theme="1"/>
        <rFont val="Aptos Narrow"/>
        <family val="2"/>
      </rPr>
      <t>Δk</t>
    </r>
    <r>
      <rPr>
        <b/>
        <vertAlign val="subscript"/>
        <sz val="11"/>
        <color theme="1"/>
        <rFont val="Calibri"/>
        <family val="2"/>
      </rPr>
      <t>ε</t>
    </r>
    <r>
      <rPr>
        <b/>
        <vertAlign val="subscript"/>
        <sz val="12.1"/>
        <color theme="1"/>
        <rFont val="Aptos Narrow"/>
        <family val="2"/>
      </rPr>
      <t xml:space="preserve"> </t>
    </r>
    <r>
      <rPr>
        <b/>
        <sz val="12.1"/>
        <color theme="1"/>
        <rFont val="Aptos Narrow"/>
        <family val="2"/>
      </rPr>
      <t>[%]</t>
    </r>
  </si>
  <si>
    <t>FAT 3 PMB</t>
  </si>
  <si>
    <t>FAT 5 PMB</t>
  </si>
  <si>
    <r>
      <t>Δk</t>
    </r>
    <r>
      <rPr>
        <b/>
        <vertAlign val="subscript"/>
        <sz val="11"/>
        <color theme="1"/>
        <rFont val="Calibri"/>
        <family val="2"/>
      </rPr>
      <t>ε</t>
    </r>
    <r>
      <rPr>
        <b/>
        <vertAlign val="subscript"/>
        <sz val="12.1"/>
        <color theme="1"/>
        <rFont val="Aptos Narrow"/>
        <family val="2"/>
      </rPr>
      <t xml:space="preserve"> </t>
    </r>
    <r>
      <rPr>
        <b/>
        <sz val="12.1"/>
        <color theme="1"/>
        <rFont val="Aptos Narrow"/>
        <family val="2"/>
      </rPr>
      <t>[%]</t>
    </r>
  </si>
  <si>
    <t>N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</si>
  <si>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N</t>
    </r>
  </si>
  <si>
    <r>
      <t>ε</t>
    </r>
    <r>
      <rPr>
        <b/>
        <vertAlign val="subscript"/>
        <sz val="10"/>
        <color theme="1"/>
        <rFont val="Calibri"/>
        <family val="2"/>
        <scheme val="minor"/>
      </rPr>
      <t xml:space="preserve">shift </t>
    </r>
    <r>
      <rPr>
        <b/>
        <sz val="10"/>
        <color theme="1"/>
        <rFont val="Calibri"/>
        <family val="2"/>
        <scheme val="minor"/>
      </rPr>
      <t xml:space="preserve">[μm/m] </t>
    </r>
  </si>
  <si>
    <t>4PB - STRESS</t>
  </si>
  <si>
    <t>4PB - STRAIN</t>
  </si>
  <si>
    <r>
      <t>ε</t>
    </r>
    <r>
      <rPr>
        <b/>
        <vertAlign val="subscript"/>
        <sz val="11"/>
        <color theme="1"/>
        <rFont val="Calibri"/>
        <family val="2"/>
      </rPr>
      <t>0</t>
    </r>
  </si>
  <si>
    <r>
      <rPr>
        <b/>
        <sz val="11"/>
        <color theme="1"/>
        <rFont val="Aptos Narrow"/>
        <family val="2"/>
      </rPr>
      <t>Δ</t>
    </r>
    <r>
      <rPr>
        <b/>
        <sz val="11"/>
        <color theme="1"/>
        <rFont val="Calibri"/>
        <family val="2"/>
        <scheme val="minor"/>
      </rPr>
      <t>ε</t>
    </r>
    <r>
      <rPr>
        <b/>
        <vertAlign val="subscript"/>
        <sz val="11"/>
        <color theme="1"/>
        <rFont val="Calibri"/>
        <family val="2"/>
        <scheme val="minor"/>
      </rPr>
      <t>0</t>
    </r>
  </si>
  <si>
    <t>SP1 LAS 12 1</t>
  </si>
  <si>
    <t>SP1 LAS 10 1</t>
  </si>
  <si>
    <t>SP1 LAS 4 3</t>
  </si>
  <si>
    <t>SP1 LAS 9 4</t>
  </si>
  <si>
    <t>SP1 LAS 1 2</t>
  </si>
  <si>
    <t>SP1 LAS 12 3</t>
  </si>
  <si>
    <t>SP1 LAS 3 1</t>
  </si>
  <si>
    <t>SP1 LAS 10 3</t>
  </si>
  <si>
    <t>SP1 LAS 2 2</t>
  </si>
  <si>
    <t>SP1 LAS 12 2</t>
  </si>
  <si>
    <t>SP1 LAS 4 2</t>
  </si>
  <si>
    <t>SP1 LAS 9 3</t>
  </si>
  <si>
    <t>SP1 LAS 4 4</t>
  </si>
  <si>
    <t>SP1 LAS 10 2</t>
  </si>
  <si>
    <t>SP1 LAS 9 1</t>
  </si>
  <si>
    <t>SP1 LAS 11 1</t>
  </si>
  <si>
    <t>SP1 LAS 1 3</t>
  </si>
  <si>
    <t>SP1 LAS 11 4</t>
  </si>
  <si>
    <t>SP1 LAS 9 2</t>
  </si>
  <si>
    <t>SP1 LAS 10 4</t>
  </si>
  <si>
    <t>SP1 LAS 12 4</t>
  </si>
  <si>
    <t>SP1 LAS 11 2</t>
  </si>
  <si>
    <t>SP1 LAS 11 3</t>
  </si>
  <si>
    <t>SP2 LAS 3 2</t>
  </si>
  <si>
    <t>SP2 LAS 7 1</t>
  </si>
  <si>
    <t>SP2 LAS 7 4</t>
  </si>
  <si>
    <t>SP2 LAS 7 2</t>
  </si>
  <si>
    <t>SP2 LAS 3 1</t>
  </si>
  <si>
    <r>
      <rPr>
        <b/>
        <sz val="11"/>
        <color theme="1"/>
        <rFont val="GreekC"/>
      </rPr>
      <t xml:space="preserve"> </t>
    </r>
    <r>
      <rPr>
        <b/>
        <sz val="11"/>
        <color theme="1"/>
        <rFont val="Calibri"/>
        <family val="2"/>
      </rPr>
      <t>Σ Δε</t>
    </r>
    <r>
      <rPr>
        <b/>
        <vertAlign val="superscript"/>
        <sz val="11"/>
        <color theme="1"/>
        <rFont val="Calibri"/>
        <family val="2"/>
      </rPr>
      <t>2</t>
    </r>
  </si>
  <si>
    <t>SP2 LAS 3 4</t>
  </si>
  <si>
    <t>SP2 LAS 6 4</t>
  </si>
  <si>
    <t>SP2 LAS 4 2</t>
  </si>
  <si>
    <t>SP2 LAS 2 4</t>
  </si>
  <si>
    <t>SP2 LAS 4 1</t>
  </si>
  <si>
    <t>SP2 LAS 4 4</t>
  </si>
  <si>
    <t>SP2 LAS 2 3</t>
  </si>
  <si>
    <t>SP2 LAS 4 3</t>
  </si>
  <si>
    <t>SP2 LAS 6 3</t>
  </si>
  <si>
    <t>SP2 LAS 2 2</t>
  </si>
  <si>
    <t>SP2 LAS 7 3</t>
  </si>
  <si>
    <t>SP2 LAS 5 1</t>
  </si>
  <si>
    <t>SP2 LAS 5 2</t>
  </si>
  <si>
    <t>SP2 LAS 6 2</t>
  </si>
  <si>
    <t>SP2 LAS 5 4</t>
  </si>
  <si>
    <t>SP2 LAS 5 3</t>
  </si>
  <si>
    <t>SP2 LAS 6 1</t>
  </si>
  <si>
    <t>PMB LAS 3 1</t>
  </si>
  <si>
    <t>SP2 LAS 2 1</t>
  </si>
  <si>
    <t>PMB LAS 6 3</t>
  </si>
  <si>
    <t>SP2 LAS 3 3</t>
  </si>
  <si>
    <t>PMB LAS 3 2</t>
  </si>
  <si>
    <t>PMB LAS 9 4</t>
  </si>
  <si>
    <t>PMB LAS 2 4</t>
  </si>
  <si>
    <t>PMB LAS 4 4</t>
  </si>
  <si>
    <t>PMB LAS 8 2</t>
  </si>
  <si>
    <t>PMB LAS 9 3</t>
  </si>
  <si>
    <t>PMB LAS 5 4</t>
  </si>
  <si>
    <t>PMB LAS 5 1</t>
  </si>
  <si>
    <t>PMB LAS 2 2</t>
  </si>
  <si>
    <t>PMB LAS 4 3</t>
  </si>
  <si>
    <t>PMB LAS 3 4</t>
  </si>
  <si>
    <t>PMB LAS 9 2</t>
  </si>
  <si>
    <t>PMB LAS 2 1</t>
  </si>
  <si>
    <t>PMB LAS 3 3</t>
  </si>
  <si>
    <t>PMB LAS 4 1</t>
  </si>
  <si>
    <t>PMB LAS 4 2</t>
  </si>
  <si>
    <t>PMB LAS 7 1</t>
  </si>
  <si>
    <t>PMB LAS 6 1</t>
  </si>
  <si>
    <t>PMB LAS 2 3</t>
  </si>
  <si>
    <t>PMB LAS 8 1</t>
  </si>
  <si>
    <t>PMB LAS 7 3</t>
  </si>
  <si>
    <t>PMB LAS 5 3</t>
  </si>
  <si>
    <t>PMB LAS 7 4</t>
  </si>
  <si>
    <t>PMB LAS 7 2</t>
  </si>
  <si>
    <r>
      <t>ε</t>
    </r>
    <r>
      <rPr>
        <b/>
        <vertAlign val="subscript"/>
        <sz val="10"/>
        <color theme="1"/>
        <rFont val="Calibri"/>
        <family val="2"/>
        <scheme val="minor"/>
      </rPr>
      <t xml:space="preserve">4PB, stress </t>
    </r>
    <r>
      <rPr>
        <b/>
        <sz val="10"/>
        <color theme="1"/>
        <rFont val="Calibri"/>
        <family val="2"/>
        <scheme val="minor"/>
      </rPr>
      <t xml:space="preserve">[μm/m] </t>
    </r>
  </si>
  <si>
    <r>
      <t>Δε</t>
    </r>
    <r>
      <rPr>
        <b/>
        <vertAlign val="superscript"/>
        <sz val="13.2"/>
        <color theme="1"/>
        <rFont val="Calibri"/>
        <family val="2"/>
        <scheme val="minor"/>
      </rPr>
      <t>2</t>
    </r>
  </si>
  <si>
    <r>
      <t xml:space="preserve"> Σ Δε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</si>
  <si>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N</t>
    </r>
    <r>
      <rPr>
        <b/>
        <vertAlign val="subscript"/>
        <sz val="11"/>
        <color theme="1"/>
        <rFont val="Calibri"/>
        <family val="2"/>
      </rPr>
      <t>0.05</t>
    </r>
  </si>
  <si>
    <r>
      <t>N</t>
    </r>
    <r>
      <rPr>
        <b/>
        <vertAlign val="subscript"/>
        <sz val="11"/>
        <color theme="1"/>
        <rFont val="Calibri"/>
        <family val="2"/>
      </rPr>
      <t>0.1</t>
    </r>
  </si>
  <si>
    <r>
      <t>N</t>
    </r>
    <r>
      <rPr>
        <b/>
        <vertAlign val="subscript"/>
        <sz val="11"/>
        <color theme="1"/>
        <rFont val="Calibri"/>
        <family val="2"/>
      </rPr>
      <t>0.05‰</t>
    </r>
  </si>
  <si>
    <r>
      <t>N</t>
    </r>
    <r>
      <rPr>
        <b/>
        <vertAlign val="subscript"/>
        <sz val="11"/>
        <color theme="1"/>
        <rFont val="Calibri"/>
        <family val="2"/>
      </rPr>
      <t>0.1‰</t>
    </r>
  </si>
  <si>
    <r>
      <t>ε</t>
    </r>
    <r>
      <rPr>
        <b/>
        <vertAlign val="sub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 xml:space="preserve"> [μm/m]</t>
    </r>
  </si>
  <si>
    <t>CIT-CY - 4PB STRESS</t>
  </si>
  <si>
    <t>4PB STRESS - 4PB STRAIN</t>
  </si>
  <si>
    <t>CIT-CY/4PB-STRESS</t>
  </si>
  <si>
    <t>4PB-STRESS/4PB STRAIN</t>
  </si>
  <si>
    <r>
      <t>SF</t>
    </r>
    <r>
      <rPr>
        <b/>
        <vertAlign val="subscript"/>
        <sz val="11"/>
        <color theme="1"/>
        <rFont val="Calibri"/>
        <family val="2"/>
      </rPr>
      <t>kε</t>
    </r>
  </si>
  <si>
    <r>
      <t>SF</t>
    </r>
    <r>
      <rPr>
        <b/>
        <vertAlign val="subscript"/>
        <sz val="11"/>
        <color theme="1"/>
        <rFont val="Calibri"/>
        <family val="2"/>
        <scheme val="minor"/>
      </rPr>
      <t>k</t>
    </r>
  </si>
  <si>
    <r>
      <t>TF</t>
    </r>
    <r>
      <rPr>
        <b/>
        <vertAlign val="subscript"/>
        <sz val="11"/>
        <color theme="1"/>
        <rFont val="Calibri"/>
        <family val="2"/>
        <scheme val="minor"/>
      </rPr>
      <t>n</t>
    </r>
  </si>
  <si>
    <r>
      <t>TF</t>
    </r>
    <r>
      <rPr>
        <b/>
        <vertAlign val="subscript"/>
        <sz val="11"/>
        <color theme="1"/>
        <rFont val="Calibri"/>
        <family val="2"/>
      </rPr>
      <t>nε</t>
    </r>
  </si>
  <si>
    <r>
      <rPr>
        <b/>
        <sz val="11"/>
        <color theme="1"/>
        <rFont val="Aptos Narrow"/>
        <family val="2"/>
      </rPr>
      <t>Δ</t>
    </r>
    <r>
      <rPr>
        <b/>
        <sz val="11"/>
        <color theme="1"/>
        <rFont val="Calibri"/>
        <family val="2"/>
      </rPr>
      <t>ε</t>
    </r>
    <r>
      <rPr>
        <b/>
        <vertAlign val="subscript"/>
        <sz val="13.2"/>
        <color theme="1"/>
        <rFont val="Calibri"/>
        <family val="2"/>
      </rPr>
      <t>6, 4PB</t>
    </r>
    <r>
      <rPr>
        <b/>
        <sz val="13.2"/>
        <color theme="1"/>
        <rFont val="Calibri"/>
        <family val="2"/>
      </rPr>
      <t xml:space="preserve"> [%]</t>
    </r>
  </si>
  <si>
    <t>D1</t>
  </si>
  <si>
    <t>D8</t>
  </si>
  <si>
    <t>D11</t>
  </si>
  <si>
    <t>D13</t>
  </si>
  <si>
    <t>D18</t>
  </si>
  <si>
    <t>E16</t>
  </si>
  <si>
    <t>E18</t>
  </si>
  <si>
    <t>B17</t>
  </si>
  <si>
    <t>B18</t>
  </si>
  <si>
    <t>B19</t>
  </si>
  <si>
    <t>A22</t>
  </si>
  <si>
    <t>A25</t>
  </si>
  <si>
    <t>A29</t>
  </si>
  <si>
    <t>C18</t>
  </si>
  <si>
    <t>C19</t>
  </si>
  <si>
    <t>C20</t>
  </si>
  <si>
    <t>C21</t>
  </si>
  <si>
    <t>C23</t>
  </si>
  <si>
    <t>D19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</si>
  <si>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SSD</t>
    </r>
    <r>
      <rPr>
        <b/>
        <sz val="11"/>
        <color theme="1"/>
        <rFont val="Calibri"/>
        <family val="2"/>
        <scheme val="minor"/>
      </rPr>
      <t xml:space="preserve"> [%]</t>
    </r>
  </si>
  <si>
    <t>A18</t>
  </si>
  <si>
    <t>A19</t>
  </si>
  <si>
    <t>A20</t>
  </si>
  <si>
    <t>A21</t>
  </si>
  <si>
    <t>A23</t>
  </si>
  <si>
    <t>A24</t>
  </si>
  <si>
    <t>A26</t>
  </si>
  <si>
    <t>A27</t>
  </si>
  <si>
    <t>A28</t>
  </si>
  <si>
    <r>
      <t>σ</t>
    </r>
    <r>
      <rPr>
        <b/>
        <vertAlign val="subscript"/>
        <sz val="11"/>
        <color theme="1"/>
        <rFont val="Calibri"/>
        <family val="2"/>
        <scheme val="minor"/>
      </rPr>
      <t>0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</si>
  <si>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ssd</t>
    </r>
  </si>
  <si>
    <t>B1-PR</t>
  </si>
  <si>
    <t>B2-PR</t>
  </si>
  <si>
    <t>B4-PR</t>
  </si>
  <si>
    <t>B5-PR</t>
  </si>
  <si>
    <t>B6-PR</t>
  </si>
  <si>
    <t>B7-PR</t>
  </si>
  <si>
    <t>B8-PR</t>
  </si>
  <si>
    <t>A1-PR</t>
  </si>
  <si>
    <t>A3-PR</t>
  </si>
  <si>
    <t>A4-PR</t>
  </si>
  <si>
    <t>A5-PR</t>
  </si>
  <si>
    <t>A7-PR</t>
  </si>
  <si>
    <t>A8-PR</t>
  </si>
  <si>
    <t>E1-PR</t>
  </si>
  <si>
    <t>E2-PR</t>
  </si>
  <si>
    <t>E3-PR</t>
  </si>
  <si>
    <t>E4-PR</t>
  </si>
  <si>
    <t>E7-PR</t>
  </si>
  <si>
    <t>E8-PR</t>
  </si>
  <si>
    <t>C1-PR</t>
  </si>
  <si>
    <t>C2-PR</t>
  </si>
  <si>
    <t>C3-PR</t>
  </si>
  <si>
    <t>C6-PR</t>
  </si>
  <si>
    <t>C7-PR</t>
  </si>
  <si>
    <t>C8-PR</t>
  </si>
  <si>
    <t>D1-PR</t>
  </si>
  <si>
    <t>D2-PR</t>
  </si>
  <si>
    <t>D3-PR</t>
  </si>
  <si>
    <t>D4-PR</t>
  </si>
  <si>
    <t>D5-PR</t>
  </si>
  <si>
    <t>D7-PR</t>
  </si>
  <si>
    <t>C4-PR</t>
  </si>
  <si>
    <t>B20</t>
  </si>
  <si>
    <t>Sp_20</t>
  </si>
  <si>
    <t>PmB_20</t>
  </si>
  <si>
    <t>Ref_20</t>
  </si>
  <si>
    <t>Sp_50</t>
  </si>
  <si>
    <t>PmB_50</t>
  </si>
  <si>
    <t>ACR PmB_20</t>
  </si>
  <si>
    <t>ACR Sp_20</t>
  </si>
  <si>
    <t>ACR Ref_20</t>
  </si>
  <si>
    <t>ACR Sp_50</t>
  </si>
  <si>
    <t>ACR PmB_50</t>
  </si>
  <si>
    <t>Mix</t>
  </si>
  <si>
    <t>D6-PR</t>
  </si>
  <si>
    <t>B13</t>
  </si>
  <si>
    <t>C25</t>
  </si>
  <si>
    <t>C27</t>
  </si>
  <si>
    <r>
      <t>ε</t>
    </r>
    <r>
      <rPr>
        <b/>
        <vertAlign val="subscript"/>
        <sz val="11"/>
        <color theme="1"/>
        <rFont val="Times New Roman"/>
        <family val="1"/>
      </rPr>
      <t>6</t>
    </r>
    <r>
      <rPr>
        <b/>
        <sz val="11"/>
        <color theme="1"/>
        <rFont val="Times New Roman"/>
        <family val="1"/>
      </rPr>
      <t xml:space="preserve"> [μm/m]</t>
    </r>
  </si>
  <si>
    <r>
      <t>N</t>
    </r>
    <r>
      <rPr>
        <b/>
        <vertAlign val="subscript"/>
        <sz val="11"/>
        <color theme="1"/>
        <rFont val="Times New Roman"/>
        <family val="1"/>
      </rPr>
      <t>f, 50%</t>
    </r>
  </si>
  <si>
    <r>
      <t>N</t>
    </r>
    <r>
      <rPr>
        <b/>
        <vertAlign val="subscript"/>
        <sz val="10"/>
        <rFont val="Times New Roman"/>
        <family val="1"/>
      </rPr>
      <t>f, ER</t>
    </r>
  </si>
  <si>
    <r>
      <t>N</t>
    </r>
    <r>
      <rPr>
        <b/>
        <vertAlign val="subscript"/>
        <sz val="10"/>
        <rFont val="Times New Roman"/>
        <family val="1"/>
      </rPr>
      <t>f, ROTTURA</t>
    </r>
  </si>
  <si>
    <r>
      <rPr>
        <b/>
        <sz val="11"/>
        <color theme="1"/>
        <rFont val="Times New Roman"/>
        <family val="1"/>
      </rPr>
      <t>Δε</t>
    </r>
    <r>
      <rPr>
        <b/>
        <vertAlign val="subscript"/>
        <sz val="11"/>
        <color theme="1"/>
        <rFont val="Times New Roman"/>
        <family val="1"/>
      </rPr>
      <t>6</t>
    </r>
    <r>
      <rPr>
        <b/>
        <sz val="11"/>
        <color theme="1"/>
        <rFont val="Times New Roman"/>
        <family val="1"/>
      </rPr>
      <t xml:space="preserve"> [μm/m]</t>
    </r>
  </si>
  <si>
    <r>
      <t>N</t>
    </r>
    <r>
      <rPr>
        <b/>
        <vertAlign val="subscript"/>
        <sz val="11"/>
        <color theme="1"/>
        <rFont val="Times New Roman"/>
        <family val="1"/>
      </rPr>
      <t>ER, 0.05‰</t>
    </r>
  </si>
  <si>
    <r>
      <t>N</t>
    </r>
    <r>
      <rPr>
        <b/>
        <vertAlign val="subscript"/>
        <sz val="11"/>
        <color theme="1"/>
        <rFont val="Times New Roman"/>
        <family val="1"/>
      </rPr>
      <t>ER, 0.1‰</t>
    </r>
  </si>
  <si>
    <r>
      <t>n</t>
    </r>
    <r>
      <rPr>
        <b/>
        <vertAlign val="subscript"/>
        <sz val="11"/>
        <color theme="1"/>
        <rFont val="Times New Roman"/>
        <family val="1"/>
      </rPr>
      <t>ε</t>
    </r>
  </si>
  <si>
    <r>
      <t>Δε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 xml:space="preserve"> </t>
    </r>
  </si>
  <si>
    <r>
      <t>S</t>
    </r>
    <r>
      <rPr>
        <b/>
        <vertAlign val="subscript"/>
        <sz val="11"/>
        <color theme="1"/>
        <rFont val="Times New Roman"/>
        <family val="1"/>
      </rPr>
      <t>0</t>
    </r>
  </si>
  <si>
    <r>
      <t>σ</t>
    </r>
    <r>
      <rPr>
        <b/>
        <vertAlign val="subscript"/>
        <sz val="11"/>
        <color theme="1"/>
        <rFont val="Times New Roman"/>
        <family val="1"/>
      </rPr>
      <t>a</t>
    </r>
  </si>
  <si>
    <r>
      <rPr>
        <b/>
        <sz val="11"/>
        <color theme="1"/>
        <rFont val="Times New Roman"/>
        <family val="1"/>
      </rPr>
      <t>ε</t>
    </r>
    <r>
      <rPr>
        <b/>
        <vertAlign val="subscript"/>
        <sz val="11"/>
        <color theme="1"/>
        <rFont val="Times New Roman"/>
        <family val="1"/>
      </rPr>
      <t>a</t>
    </r>
  </si>
  <si>
    <r>
      <t>v</t>
    </r>
    <r>
      <rPr>
        <b/>
        <vertAlign val="subscript"/>
        <sz val="11"/>
        <color theme="1"/>
        <rFont val="Times New Roman"/>
        <family val="1"/>
      </rPr>
      <t>SSD</t>
    </r>
    <r>
      <rPr>
        <b/>
        <sz val="11"/>
        <color theme="1"/>
        <rFont val="Times New Roman"/>
        <family val="1"/>
      </rPr>
      <t xml:space="preserve"> </t>
    </r>
  </si>
  <si>
    <r>
      <t>log</t>
    </r>
    <r>
      <rPr>
        <b/>
        <vertAlign val="subscript"/>
        <sz val="11"/>
        <color theme="1"/>
        <rFont val="Times New Roman"/>
        <family val="1"/>
      </rPr>
      <t xml:space="preserve">10 </t>
    </r>
    <r>
      <rPr>
        <b/>
        <sz val="11"/>
        <color theme="1"/>
        <rFont val="Times New Roman"/>
        <family val="1"/>
      </rPr>
      <t>Δε</t>
    </r>
  </si>
  <si>
    <r>
      <t>log</t>
    </r>
    <r>
      <rPr>
        <b/>
        <vertAlign val="subscript"/>
        <sz val="11"/>
        <color theme="1"/>
        <rFont val="Times New Roman"/>
        <family val="1"/>
      </rPr>
      <t xml:space="preserve">10 </t>
    </r>
    <r>
      <rPr>
        <b/>
        <sz val="11"/>
        <color theme="1"/>
        <rFont val="Times New Roman"/>
        <family val="1"/>
      </rPr>
      <t>N</t>
    </r>
    <r>
      <rPr>
        <b/>
        <vertAlign val="subscript"/>
        <sz val="11"/>
        <color theme="1"/>
        <rFont val="Times New Roman"/>
        <family val="1"/>
      </rPr>
      <t>f, 50%</t>
    </r>
  </si>
  <si>
    <r>
      <t>log</t>
    </r>
    <r>
      <rPr>
        <b/>
        <vertAlign val="subscript"/>
        <sz val="10"/>
        <rFont val="Times New Roman"/>
        <family val="1"/>
      </rPr>
      <t xml:space="preserve">10 </t>
    </r>
    <r>
      <rPr>
        <b/>
        <sz val="10"/>
        <rFont val="Times New Roman"/>
        <family val="1"/>
      </rPr>
      <t>N</t>
    </r>
    <r>
      <rPr>
        <b/>
        <vertAlign val="subscript"/>
        <sz val="10"/>
        <rFont val="Times New Roman"/>
        <family val="1"/>
      </rPr>
      <t>f, ER</t>
    </r>
  </si>
  <si>
    <r>
      <t>log</t>
    </r>
    <r>
      <rPr>
        <b/>
        <vertAlign val="subscript"/>
        <sz val="10"/>
        <rFont val="Times New Roman"/>
        <family val="1"/>
      </rPr>
      <t xml:space="preserve">10 </t>
    </r>
    <r>
      <rPr>
        <b/>
        <sz val="10"/>
        <rFont val="Times New Roman"/>
        <family val="1"/>
      </rPr>
      <t>N</t>
    </r>
    <r>
      <rPr>
        <b/>
        <vertAlign val="subscript"/>
        <sz val="10"/>
        <rFont val="Times New Roman"/>
        <family val="1"/>
      </rPr>
      <t>f, ROTTURA</t>
    </r>
  </si>
  <si>
    <r>
      <t>n</t>
    </r>
    <r>
      <rPr>
        <b/>
        <vertAlign val="subscript"/>
        <sz val="11"/>
        <color theme="1"/>
        <rFont val="Times New Roman"/>
        <family val="1"/>
      </rPr>
      <t>ε, ER</t>
    </r>
  </si>
  <si>
    <r>
      <t>ε</t>
    </r>
    <r>
      <rPr>
        <b/>
        <vertAlign val="subscript"/>
        <sz val="11"/>
        <color theme="1"/>
        <rFont val="Times New Roman"/>
        <family val="1"/>
      </rPr>
      <t>5, ER</t>
    </r>
  </si>
  <si>
    <r>
      <rPr>
        <b/>
        <sz val="11"/>
        <color theme="1"/>
        <rFont val="Times New Roman"/>
        <family val="1"/>
      </rPr>
      <t>ε</t>
    </r>
    <r>
      <rPr>
        <b/>
        <vertAlign val="subscript"/>
        <sz val="12.1"/>
        <color theme="1"/>
        <rFont val="Times New Roman"/>
        <family val="1"/>
      </rPr>
      <t>0</t>
    </r>
  </si>
  <si>
    <r>
      <t>log</t>
    </r>
    <r>
      <rPr>
        <b/>
        <vertAlign val="subscript"/>
        <sz val="11"/>
        <color theme="1"/>
        <rFont val="Times New Roman"/>
        <family val="1"/>
      </rPr>
      <t xml:space="preserve">10 </t>
    </r>
    <r>
      <rPr>
        <b/>
        <sz val="11"/>
        <color theme="1"/>
        <rFont val="Times New Roman"/>
        <family val="1"/>
      </rPr>
      <t>ε</t>
    </r>
    <r>
      <rPr>
        <b/>
        <vertAlign val="subscript"/>
        <sz val="12.1"/>
        <color theme="1"/>
        <rFont val="Times New Roman"/>
        <family val="1"/>
      </rPr>
      <t>0</t>
    </r>
  </si>
  <si>
    <r>
      <t>N</t>
    </r>
    <r>
      <rPr>
        <b/>
        <vertAlign val="subscript"/>
        <sz val="11"/>
        <color theme="1"/>
        <rFont val="Calibri"/>
        <family val="2"/>
        <scheme val="minor"/>
      </rPr>
      <t>0,25</t>
    </r>
    <r>
      <rPr>
        <b/>
        <vertAlign val="subscript"/>
        <sz val="11"/>
        <color theme="1"/>
        <rFont val="Calibri"/>
        <family val="2"/>
      </rPr>
      <t>‰</t>
    </r>
  </si>
  <si>
    <t>E6-PR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</si>
</sst>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00"/>
    <numFmt numFmtId="167" formatCode="0.000000000000000000"/>
    <numFmt numFmtId="168" formatCode="0.00000"/>
    <numFmt numFmtId="169" formatCode="0.0000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sz val="8"/>
      <name val="Calibri"/>
      <family val="2"/>
      <scheme val="minor"/>
    </font>
    <font>
      <b/>
      <sz val="11"/>
      <color theme="1"/>
      <name val="Aptos Narrow"/>
      <family val="2"/>
    </font>
    <font>
      <b/>
      <vertAlign val="subscript"/>
      <sz val="12.1"/>
      <color theme="1"/>
      <name val="Calibri"/>
      <family val="2"/>
    </font>
    <font>
      <b/>
      <vertAlign val="subscript"/>
      <sz val="13.2"/>
      <color theme="1"/>
      <name val="Calibri"/>
      <family val="2"/>
    </font>
    <font>
      <b/>
      <vertAlign val="subscript"/>
      <sz val="12.1"/>
      <color theme="1"/>
      <name val="Aptos Narrow"/>
      <family val="2"/>
    </font>
    <font>
      <b/>
      <sz val="12.1"/>
      <color theme="1"/>
      <name val="Aptos Narrow"/>
      <family val="2"/>
    </font>
    <font>
      <b/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GreekC"/>
    </font>
    <font>
      <b/>
      <vertAlign val="superscript"/>
      <sz val="11"/>
      <color theme="1"/>
      <name val="Calibri"/>
      <family val="2"/>
    </font>
    <font>
      <b/>
      <vertAlign val="superscript"/>
      <sz val="13.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3.2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0"/>
      <name val="Times New Roman"/>
      <family val="1"/>
    </font>
    <font>
      <b/>
      <vertAlign val="subscript"/>
      <sz val="10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vertAlign val="subscript"/>
      <sz val="12.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39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1" fontId="0" fillId="0" borderId="13" xfId="0" applyNumberFormat="1" applyBorder="1" applyAlignment="1">
      <alignment horizontal="center" vertical="center"/>
    </xf>
    <xf numFmtId="11" fontId="0" fillId="0" borderId="11" xfId="0" applyNumberFormat="1" applyBorder="1" applyAlignment="1">
      <alignment horizontal="center" vertical="center"/>
    </xf>
    <xf numFmtId="11" fontId="0" fillId="0" borderId="12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165" fontId="0" fillId="0" borderId="32" xfId="0" applyNumberFormat="1" applyBorder="1" applyAlignment="1">
      <alignment horizontal="center" vertical="center"/>
    </xf>
    <xf numFmtId="165" fontId="0" fillId="0" borderId="33" xfId="0" applyNumberForma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1" fontId="0" fillId="0" borderId="0" xfId="0" applyNumberFormat="1"/>
    <xf numFmtId="11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0" fillId="0" borderId="0" xfId="0" applyNumberFormat="1"/>
    <xf numFmtId="166" fontId="0" fillId="0" borderId="0" xfId="0" applyNumberFormat="1"/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34" xfId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11" fontId="0" fillId="0" borderId="9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167" fontId="0" fillId="0" borderId="0" xfId="0" applyNumberFormat="1"/>
    <xf numFmtId="0" fontId="1" fillId="5" borderId="16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6" fillId="2" borderId="21" xfId="0" applyNumberFormat="1" applyFont="1" applyFill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1" fillId="0" borderId="0" xfId="0" applyFont="1"/>
    <xf numFmtId="169" fontId="0" fillId="0" borderId="0" xfId="0" applyNumberFormat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/>
    </xf>
    <xf numFmtId="1" fontId="9" fillId="2" borderId="21" xfId="0" applyNumberFormat="1" applyFont="1" applyFill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14" fillId="2" borderId="29" xfId="0" applyFont="1" applyFill="1" applyBorder="1" applyAlignment="1">
      <alignment horizontal="center"/>
    </xf>
    <xf numFmtId="11" fontId="1" fillId="6" borderId="1" xfId="0" applyNumberFormat="1" applyFont="1" applyFill="1" applyBorder="1" applyAlignment="1">
      <alignment horizontal="center" vertical="center"/>
    </xf>
    <xf numFmtId="11" fontId="1" fillId="6" borderId="16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165" fontId="17" fillId="0" borderId="13" xfId="0" applyNumberFormat="1" applyFont="1" applyBorder="1" applyAlignment="1">
      <alignment horizontal="center" vertical="center"/>
    </xf>
    <xf numFmtId="1" fontId="17" fillId="0" borderId="11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165" fontId="17" fillId="0" borderId="20" xfId="0" applyNumberFormat="1" applyFont="1" applyBorder="1" applyAlignment="1">
      <alignment horizontal="center" vertical="center"/>
    </xf>
    <xf numFmtId="1" fontId="17" fillId="0" borderId="18" xfId="0" applyNumberFormat="1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0" fontId="16" fillId="5" borderId="9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165" fontId="6" fillId="2" borderId="21" xfId="0" applyNumberFormat="1" applyFont="1" applyFill="1" applyBorder="1" applyAlignment="1">
      <alignment horizontal="center" vertical="center"/>
    </xf>
    <xf numFmtId="166" fontId="0" fillId="0" borderId="40" xfId="0" applyNumberForma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0" fontId="14" fillId="2" borderId="29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6" fontId="0" fillId="0" borderId="24" xfId="0" applyNumberForma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6" fontId="0" fillId="0" borderId="19" xfId="0" applyNumberFormat="1" applyBorder="1" applyAlignment="1">
      <alignment horizontal="center" vertical="center"/>
    </xf>
    <xf numFmtId="165" fontId="1" fillId="2" borderId="21" xfId="0" applyNumberFormat="1" applyFont="1" applyFill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 vertical="center"/>
    </xf>
    <xf numFmtId="2" fontId="1" fillId="0" borderId="41" xfId="0" applyNumberFormat="1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0" fillId="0" borderId="42" xfId="0" applyNumberFormat="1" applyBorder="1" applyAlignment="1">
      <alignment horizontal="center" vertical="center"/>
    </xf>
    <xf numFmtId="1" fontId="0" fillId="0" borderId="40" xfId="0" applyNumberFormat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1" fontId="6" fillId="2" borderId="19" xfId="0" applyNumberFormat="1" applyFont="1" applyFill="1" applyBorder="1" applyAlignment="1">
      <alignment horizontal="center" vertical="center"/>
    </xf>
    <xf numFmtId="1" fontId="6" fillId="2" borderId="20" xfId="0" applyNumberFormat="1" applyFont="1" applyFill="1" applyBorder="1" applyAlignment="1">
      <alignment horizontal="center" vertical="center"/>
    </xf>
    <xf numFmtId="1" fontId="6" fillId="2" borderId="17" xfId="0" applyNumberFormat="1" applyFont="1" applyFill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" fontId="0" fillId="0" borderId="41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1" fontId="0" fillId="0" borderId="10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4" fillId="7" borderId="3" xfId="1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/>
    </xf>
    <xf numFmtId="0" fontId="4" fillId="7" borderId="15" xfId="1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4" fillId="7" borderId="30" xfId="1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16" fillId="7" borderId="17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/>
    </xf>
    <xf numFmtId="0" fontId="1" fillId="7" borderId="40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51" xfId="0" applyFont="1" applyBorder="1" applyAlignment="1">
      <alignment horizontal="center" vertical="center"/>
    </xf>
    <xf numFmtId="0" fontId="26" fillId="0" borderId="51" xfId="1" applyFont="1" applyBorder="1" applyAlignment="1">
      <alignment horizontal="center" vertical="center"/>
    </xf>
    <xf numFmtId="0" fontId="24" fillId="6" borderId="46" xfId="0" applyFont="1" applyFill="1" applyBorder="1" applyAlignment="1">
      <alignment horizontal="center" vertical="center"/>
    </xf>
    <xf numFmtId="1" fontId="28" fillId="6" borderId="0" xfId="0" applyNumberFormat="1" applyFont="1" applyFill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1" fontId="28" fillId="0" borderId="0" xfId="0" applyNumberFormat="1" applyFont="1" applyAlignment="1">
      <alignment horizontal="center" vertical="center"/>
    </xf>
    <xf numFmtId="1" fontId="28" fillId="0" borderId="51" xfId="0" applyNumberFormat="1" applyFont="1" applyBorder="1" applyAlignment="1">
      <alignment horizontal="center" vertical="center"/>
    </xf>
    <xf numFmtId="165" fontId="0" fillId="0" borderId="51" xfId="0" applyNumberFormat="1" applyBorder="1" applyAlignment="1">
      <alignment horizontal="center" vertical="center"/>
    </xf>
    <xf numFmtId="0" fontId="1" fillId="6" borderId="49" xfId="0" applyFont="1" applyFill="1" applyBorder="1" applyAlignment="1">
      <alignment horizontal="center" vertical="center"/>
    </xf>
    <xf numFmtId="165" fontId="0" fillId="6" borderId="49" xfId="0" applyNumberForma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165" fontId="0" fillId="6" borderId="0" xfId="0" applyNumberFormat="1" applyFill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24" fillId="6" borderId="49" xfId="0" applyFont="1" applyFill="1" applyBorder="1" applyAlignment="1">
      <alignment horizontal="center" vertical="center"/>
    </xf>
    <xf numFmtId="1" fontId="28" fillId="6" borderId="49" xfId="0" applyNumberFormat="1" applyFont="1" applyFill="1" applyBorder="1" applyAlignment="1">
      <alignment horizontal="center" vertical="center"/>
    </xf>
    <xf numFmtId="165" fontId="28" fillId="6" borderId="49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24" fillId="6" borderId="0" xfId="0" applyFont="1" applyFill="1" applyAlignment="1">
      <alignment horizontal="center" vertical="center"/>
    </xf>
    <xf numFmtId="165" fontId="28" fillId="6" borderId="0" xfId="0" applyNumberFormat="1" applyFont="1" applyFill="1" applyAlignment="1">
      <alignment horizontal="center" vertical="center"/>
    </xf>
    <xf numFmtId="165" fontId="28" fillId="0" borderId="51" xfId="0" applyNumberFormat="1" applyFont="1" applyBorder="1" applyAlignment="1">
      <alignment horizontal="center" vertical="center"/>
    </xf>
    <xf numFmtId="0" fontId="24" fillId="7" borderId="1" xfId="0" applyFont="1" applyFill="1" applyBorder="1" applyAlignment="1">
      <alignment horizontal="center" vertical="center"/>
    </xf>
    <xf numFmtId="0" fontId="24" fillId="7" borderId="3" xfId="0" applyFont="1" applyFill="1" applyBorder="1" applyAlignment="1">
      <alignment horizontal="center" vertical="center"/>
    </xf>
    <xf numFmtId="0" fontId="25" fillId="7" borderId="3" xfId="0" applyFont="1" applyFill="1" applyBorder="1" applyAlignment="1">
      <alignment horizontal="center" vertical="center"/>
    </xf>
    <xf numFmtId="0" fontId="26" fillId="7" borderId="3" xfId="1" applyFont="1" applyFill="1" applyBorder="1" applyAlignment="1">
      <alignment horizontal="center" vertical="center"/>
    </xf>
    <xf numFmtId="0" fontId="24" fillId="7" borderId="4" xfId="0" applyFont="1" applyFill="1" applyBorder="1" applyAlignment="1">
      <alignment horizontal="center" vertical="center"/>
    </xf>
    <xf numFmtId="0" fontId="24" fillId="7" borderId="5" xfId="0" applyFont="1" applyFill="1" applyBorder="1" applyAlignment="1">
      <alignment horizontal="center" vertical="center"/>
    </xf>
    <xf numFmtId="0" fontId="26" fillId="7" borderId="4" xfId="1" applyFont="1" applyFill="1" applyBorder="1" applyAlignment="1">
      <alignment horizontal="center" vertical="center"/>
    </xf>
    <xf numFmtId="0" fontId="24" fillId="7" borderId="7" xfId="0" applyFont="1" applyFill="1" applyBorder="1" applyAlignment="1">
      <alignment horizontal="center" vertical="center"/>
    </xf>
    <xf numFmtId="0" fontId="24" fillId="7" borderId="8" xfId="0" applyFont="1" applyFill="1" applyBorder="1" applyAlignment="1">
      <alignment horizontal="center" vertical="center"/>
    </xf>
    <xf numFmtId="0" fontId="24" fillId="7" borderId="47" xfId="0" applyFont="1" applyFill="1" applyBorder="1" applyAlignment="1">
      <alignment horizontal="center" vertical="center"/>
    </xf>
    <xf numFmtId="0" fontId="24" fillId="7" borderId="36" xfId="0" applyFont="1" applyFill="1" applyBorder="1" applyAlignment="1">
      <alignment horizontal="center" vertical="center"/>
    </xf>
    <xf numFmtId="1" fontId="28" fillId="0" borderId="2" xfId="0" applyNumberFormat="1" applyFont="1" applyBorder="1" applyAlignment="1">
      <alignment horizontal="center" vertical="center"/>
    </xf>
    <xf numFmtId="1" fontId="28" fillId="0" borderId="3" xfId="0" applyNumberFormat="1" applyFont="1" applyBorder="1" applyAlignment="1">
      <alignment horizontal="center" vertical="center"/>
    </xf>
    <xf numFmtId="164" fontId="28" fillId="0" borderId="3" xfId="0" applyNumberFormat="1" applyFont="1" applyBorder="1" applyAlignment="1">
      <alignment horizontal="center" vertical="center"/>
    </xf>
    <xf numFmtId="2" fontId="28" fillId="0" borderId="3" xfId="0" applyNumberFormat="1" applyFont="1" applyBorder="1" applyAlignment="1">
      <alignment horizontal="center" vertical="center"/>
    </xf>
    <xf numFmtId="2" fontId="28" fillId="0" borderId="4" xfId="0" applyNumberFormat="1" applyFont="1" applyBorder="1" applyAlignment="1">
      <alignment horizontal="center" vertical="center"/>
    </xf>
    <xf numFmtId="165" fontId="28" fillId="0" borderId="5" xfId="0" applyNumberFormat="1" applyFont="1" applyBorder="1" applyAlignment="1">
      <alignment horizontal="center" vertical="center"/>
    </xf>
    <xf numFmtId="165" fontId="28" fillId="0" borderId="3" xfId="0" applyNumberFormat="1" applyFont="1" applyBorder="1" applyAlignment="1">
      <alignment horizontal="center" vertical="center"/>
    </xf>
    <xf numFmtId="165" fontId="28" fillId="0" borderId="4" xfId="0" applyNumberFormat="1" applyFont="1" applyBorder="1" applyAlignment="1">
      <alignment horizontal="center" vertical="center"/>
    </xf>
    <xf numFmtId="0" fontId="24" fillId="7" borderId="37" xfId="0" applyFont="1" applyFill="1" applyBorder="1" applyAlignment="1">
      <alignment horizontal="center" vertical="center"/>
    </xf>
    <xf numFmtId="1" fontId="28" fillId="0" borderId="10" xfId="0" applyNumberFormat="1" applyFont="1" applyBorder="1" applyAlignment="1">
      <alignment horizontal="center" vertical="center"/>
    </xf>
    <xf numFmtId="1" fontId="28" fillId="0" borderId="11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2" fontId="28" fillId="0" borderId="11" xfId="0" applyNumberFormat="1" applyFont="1" applyBorder="1" applyAlignment="1">
      <alignment horizontal="center" vertical="center"/>
    </xf>
    <xf numFmtId="2" fontId="28" fillId="0" borderId="12" xfId="0" applyNumberFormat="1" applyFont="1" applyBorder="1" applyAlignment="1">
      <alignment horizontal="center" vertical="center"/>
    </xf>
    <xf numFmtId="165" fontId="28" fillId="0" borderId="13" xfId="0" applyNumberFormat="1" applyFont="1" applyBorder="1" applyAlignment="1">
      <alignment horizontal="center" vertical="center"/>
    </xf>
    <xf numFmtId="165" fontId="28" fillId="0" borderId="11" xfId="0" applyNumberFormat="1" applyFont="1" applyBorder="1" applyAlignment="1">
      <alignment horizontal="center" vertical="center"/>
    </xf>
    <xf numFmtId="165" fontId="28" fillId="0" borderId="12" xfId="0" applyNumberFormat="1" applyFont="1" applyBorder="1" applyAlignment="1">
      <alignment horizontal="center" vertical="center"/>
    </xf>
    <xf numFmtId="0" fontId="24" fillId="7" borderId="48" xfId="0" applyFont="1" applyFill="1" applyBorder="1" applyAlignment="1">
      <alignment horizontal="center" vertical="center"/>
    </xf>
    <xf numFmtId="1" fontId="28" fillId="0" borderId="6" xfId="0" applyNumberFormat="1" applyFont="1" applyBorder="1" applyAlignment="1">
      <alignment horizontal="center" vertical="center"/>
    </xf>
    <xf numFmtId="1" fontId="28" fillId="0" borderId="7" xfId="0" applyNumberFormat="1" applyFont="1" applyBorder="1" applyAlignment="1">
      <alignment horizontal="center" vertical="center"/>
    </xf>
    <xf numFmtId="164" fontId="28" fillId="0" borderId="7" xfId="0" applyNumberFormat="1" applyFont="1" applyBorder="1" applyAlignment="1">
      <alignment horizontal="center" vertical="center"/>
    </xf>
    <xf numFmtId="2" fontId="28" fillId="0" borderId="7" xfId="0" applyNumberFormat="1" applyFont="1" applyBorder="1" applyAlignment="1">
      <alignment horizontal="center" vertical="center"/>
    </xf>
    <xf numFmtId="2" fontId="28" fillId="0" borderId="8" xfId="0" applyNumberFormat="1" applyFont="1" applyBorder="1" applyAlignment="1">
      <alignment horizontal="center" vertical="center"/>
    </xf>
    <xf numFmtId="165" fontId="28" fillId="0" borderId="47" xfId="0" applyNumberFormat="1" applyFont="1" applyBorder="1" applyAlignment="1">
      <alignment horizontal="center" vertical="center"/>
    </xf>
    <xf numFmtId="165" fontId="28" fillId="0" borderId="7" xfId="0" applyNumberFormat="1" applyFont="1" applyBorder="1" applyAlignment="1">
      <alignment horizontal="center" vertical="center"/>
    </xf>
    <xf numFmtId="165" fontId="28" fillId="0" borderId="8" xfId="0" applyNumberFormat="1" applyFont="1" applyBorder="1" applyAlignment="1">
      <alignment horizontal="center" vertical="center"/>
    </xf>
    <xf numFmtId="0" fontId="29" fillId="7" borderId="36" xfId="0" applyFont="1" applyFill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9" fillId="7" borderId="37" xfId="0" applyFont="1" applyFill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9" fillId="7" borderId="38" xfId="0" applyFont="1" applyFill="1" applyBorder="1" applyAlignment="1">
      <alignment horizontal="center" vertical="center"/>
    </xf>
    <xf numFmtId="1" fontId="28" fillId="0" borderId="18" xfId="0" applyNumberFormat="1" applyFont="1" applyBorder="1" applyAlignment="1">
      <alignment horizontal="center" vertical="center"/>
    </xf>
    <xf numFmtId="164" fontId="28" fillId="0" borderId="18" xfId="0" applyNumberFormat="1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2" fontId="28" fillId="0" borderId="19" xfId="0" applyNumberFormat="1" applyFont="1" applyBorder="1" applyAlignment="1">
      <alignment horizontal="center" vertical="center"/>
    </xf>
    <xf numFmtId="165" fontId="28" fillId="0" borderId="20" xfId="0" applyNumberFormat="1" applyFont="1" applyBorder="1" applyAlignment="1">
      <alignment horizontal="center" vertical="center"/>
    </xf>
    <xf numFmtId="165" fontId="28" fillId="0" borderId="18" xfId="0" applyNumberFormat="1" applyFont="1" applyBorder="1" applyAlignment="1">
      <alignment horizontal="center" vertical="center"/>
    </xf>
    <xf numFmtId="165" fontId="28" fillId="0" borderId="19" xfId="0" applyNumberFormat="1" applyFont="1" applyBorder="1" applyAlignment="1">
      <alignment horizontal="center" vertical="center"/>
    </xf>
    <xf numFmtId="0" fontId="24" fillId="7" borderId="43" xfId="0" applyFont="1" applyFill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1" fontId="28" fillId="0" borderId="23" xfId="0" applyNumberFormat="1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164" fontId="28" fillId="0" borderId="23" xfId="0" applyNumberFormat="1" applyFont="1" applyBorder="1" applyAlignment="1">
      <alignment horizontal="center" vertical="center"/>
    </xf>
    <xf numFmtId="2" fontId="28" fillId="0" borderId="24" xfId="0" applyNumberFormat="1" applyFont="1" applyBorder="1" applyAlignment="1">
      <alignment horizontal="center" vertical="center"/>
    </xf>
    <xf numFmtId="165" fontId="28" fillId="0" borderId="26" xfId="0" applyNumberFormat="1" applyFont="1" applyBorder="1" applyAlignment="1">
      <alignment horizontal="center" vertical="center"/>
    </xf>
    <xf numFmtId="165" fontId="28" fillId="0" borderId="23" xfId="0" applyNumberFormat="1" applyFont="1" applyBorder="1" applyAlignment="1">
      <alignment horizontal="center" vertical="center"/>
    </xf>
    <xf numFmtId="165" fontId="28" fillId="0" borderId="24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9" fillId="7" borderId="43" xfId="0" applyFont="1" applyFill="1" applyBorder="1" applyAlignment="1">
      <alignment horizontal="center" vertical="center"/>
    </xf>
    <xf numFmtId="0" fontId="28" fillId="0" borderId="0" xfId="0" applyFont="1"/>
    <xf numFmtId="0" fontId="28" fillId="0" borderId="12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4" fillId="7" borderId="9" xfId="0" applyFont="1" applyFill="1" applyBorder="1" applyAlignment="1">
      <alignment horizontal="center" vertical="center"/>
    </xf>
    <xf numFmtId="0" fontId="24" fillId="7" borderId="16" xfId="0" applyFont="1" applyFill="1" applyBorder="1" applyAlignment="1">
      <alignment horizontal="center" vertical="center"/>
    </xf>
    <xf numFmtId="0" fontId="24" fillId="7" borderId="38" xfId="0" applyFont="1" applyFill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169" fontId="28" fillId="0" borderId="26" xfId="0" applyNumberFormat="1" applyFont="1" applyBorder="1" applyAlignment="1">
      <alignment horizontal="center" vertical="center"/>
    </xf>
    <xf numFmtId="169" fontId="28" fillId="0" borderId="23" xfId="0" applyNumberFormat="1" applyFont="1" applyBorder="1" applyAlignment="1">
      <alignment horizontal="center" vertical="center"/>
    </xf>
    <xf numFmtId="169" fontId="28" fillId="0" borderId="24" xfId="0" applyNumberFormat="1" applyFont="1" applyBorder="1" applyAlignment="1">
      <alignment horizontal="center" vertical="center"/>
    </xf>
    <xf numFmtId="169" fontId="28" fillId="0" borderId="13" xfId="0" applyNumberFormat="1" applyFont="1" applyBorder="1" applyAlignment="1">
      <alignment horizontal="center" vertical="center"/>
    </xf>
    <xf numFmtId="169" fontId="28" fillId="0" borderId="11" xfId="0" applyNumberFormat="1" applyFont="1" applyBorder="1" applyAlignment="1">
      <alignment horizontal="center" vertical="center"/>
    </xf>
    <xf numFmtId="169" fontId="28" fillId="0" borderId="12" xfId="0" applyNumberFormat="1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169" fontId="28" fillId="0" borderId="20" xfId="0" applyNumberFormat="1" applyFont="1" applyBorder="1" applyAlignment="1">
      <alignment horizontal="center" vertical="center"/>
    </xf>
    <xf numFmtId="169" fontId="28" fillId="0" borderId="18" xfId="0" applyNumberFormat="1" applyFont="1" applyBorder="1" applyAlignment="1">
      <alignment horizontal="center" vertical="center"/>
    </xf>
    <xf numFmtId="169" fontId="28" fillId="0" borderId="19" xfId="0" applyNumberFormat="1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1" fontId="0" fillId="0" borderId="55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1" fontId="0" fillId="0" borderId="4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0" fillId="6" borderId="53" xfId="0" applyNumberFormat="1" applyFill="1" applyBorder="1" applyAlignment="1">
      <alignment horizontal="center" vertical="center"/>
    </xf>
    <xf numFmtId="1" fontId="0" fillId="6" borderId="47" xfId="0" applyNumberFormat="1" applyFill="1" applyBorder="1" applyAlignment="1">
      <alignment horizontal="center" vertical="center"/>
    </xf>
    <xf numFmtId="1" fontId="0" fillId="6" borderId="55" xfId="0" applyNumberFormat="1" applyFill="1" applyBorder="1" applyAlignment="1">
      <alignment horizontal="center" vertical="center"/>
    </xf>
    <xf numFmtId="1" fontId="0" fillId="6" borderId="46" xfId="0" applyNumberFormat="1" applyFill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24" fillId="0" borderId="51" xfId="0" applyFont="1" applyBorder="1" applyAlignment="1">
      <alignment horizontal="center" vertical="center"/>
    </xf>
    <xf numFmtId="0" fontId="24" fillId="7" borderId="1" xfId="0" applyFont="1" applyFill="1" applyBorder="1" applyAlignment="1">
      <alignment horizontal="center" vertical="center"/>
    </xf>
    <xf numFmtId="0" fontId="24" fillId="7" borderId="45" xfId="0" applyFont="1" applyFill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/>
    </xf>
    <xf numFmtId="0" fontId="24" fillId="7" borderId="6" xfId="0" applyFont="1" applyFill="1" applyBorder="1" applyAlignment="1">
      <alignment horizontal="center" vertical="center"/>
    </xf>
    <xf numFmtId="0" fontId="24" fillId="0" borderId="47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24" fillId="7" borderId="36" xfId="0" applyFont="1" applyFill="1" applyBorder="1" applyAlignment="1">
      <alignment horizontal="center" vertical="center"/>
    </xf>
    <xf numFmtId="0" fontId="24" fillId="7" borderId="48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</cellXfs>
  <cellStyles count="2">
    <cellStyle name="Normale" xfId="0" builtinId="0"/>
    <cellStyle name="Normale 2" xfId="1" xr:uid="{77C4F8DE-8064-4DF2-9945-115202F1F5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50%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2987302956924"/>
          <c:y val="0.13333426166967643"/>
          <c:w val="0.83148063546848427"/>
          <c:h val="0.7315993964836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'ANNEX F'!$Q$4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00B050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F'!$G$4:$G$12</c:f>
              <c:numCache>
                <c:formatCode>0.00</c:formatCode>
                <c:ptCount val="9"/>
                <c:pt idx="0">
                  <c:v>101.54843116104489</c:v>
                </c:pt>
                <c:pt idx="1">
                  <c:v>123.09638525132465</c:v>
                </c:pt>
                <c:pt idx="2">
                  <c:v>158.04866854391051</c:v>
                </c:pt>
                <c:pt idx="3">
                  <c:v>106.94470896414164</c:v>
                </c:pt>
                <c:pt idx="4">
                  <c:v>56.614844441852306</c:v>
                </c:pt>
                <c:pt idx="5">
                  <c:v>155.06563076013461</c:v>
                </c:pt>
                <c:pt idx="6">
                  <c:v>60.122275900112307</c:v>
                </c:pt>
                <c:pt idx="7">
                  <c:v>54.977657197971936</c:v>
                </c:pt>
                <c:pt idx="8">
                  <c:v>149.68660610655272</c:v>
                </c:pt>
              </c:numCache>
            </c:numRef>
          </c:xVal>
          <c:yVal>
            <c:numRef>
              <c:f>'ANNEX F'!$H$4:$H$12</c:f>
              <c:numCache>
                <c:formatCode>0.00</c:formatCode>
                <c:ptCount val="9"/>
                <c:pt idx="0">
                  <c:v>5010</c:v>
                </c:pt>
                <c:pt idx="1">
                  <c:v>5290</c:v>
                </c:pt>
                <c:pt idx="2">
                  <c:v>1080</c:v>
                </c:pt>
                <c:pt idx="3">
                  <c:v>5350</c:v>
                </c:pt>
                <c:pt idx="4">
                  <c:v>50770</c:v>
                </c:pt>
                <c:pt idx="5">
                  <c:v>1720</c:v>
                </c:pt>
                <c:pt idx="6">
                  <c:v>58170</c:v>
                </c:pt>
                <c:pt idx="7">
                  <c:v>52800</c:v>
                </c:pt>
                <c:pt idx="8">
                  <c:v>1350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7B-4D10-B6B6-04AFDA2FA5CA}"/>
            </c:ext>
          </c:extLst>
        </c:ser>
        <c:ser>
          <c:idx val="1"/>
          <c:order val="1"/>
          <c:tx>
            <c:strRef>
              <c:f>'ANNEX F'!$Q$13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2"/>
                </a:solidFill>
                <a:prstDash val="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F'!$G$13:$G$20</c:f>
              <c:numCache>
                <c:formatCode>0.0</c:formatCode>
                <c:ptCount val="8"/>
                <c:pt idx="0">
                  <c:v>85.488460584620441</c:v>
                </c:pt>
                <c:pt idx="1">
                  <c:v>95.038901659819828</c:v>
                </c:pt>
                <c:pt idx="2">
                  <c:v>89.262579738930796</c:v>
                </c:pt>
                <c:pt idx="3">
                  <c:v>146.43494466141726</c:v>
                </c:pt>
                <c:pt idx="4">
                  <c:v>154.0632769135932</c:v>
                </c:pt>
                <c:pt idx="5">
                  <c:v>151.92726487361062</c:v>
                </c:pt>
                <c:pt idx="6">
                  <c:v>56.318002552050849</c:v>
                </c:pt>
                <c:pt idx="7">
                  <c:v>56.077014630934009</c:v>
                </c:pt>
              </c:numCache>
            </c:numRef>
          </c:xVal>
          <c:yVal>
            <c:numRef>
              <c:f>'ANNEX F'!$H$13:$H$20</c:f>
              <c:numCache>
                <c:formatCode>0</c:formatCode>
                <c:ptCount val="8"/>
                <c:pt idx="0">
                  <c:v>14150</c:v>
                </c:pt>
                <c:pt idx="1">
                  <c:v>11610</c:v>
                </c:pt>
                <c:pt idx="2">
                  <c:v>12320</c:v>
                </c:pt>
                <c:pt idx="3">
                  <c:v>1690</c:v>
                </c:pt>
                <c:pt idx="4">
                  <c:v>1370</c:v>
                </c:pt>
                <c:pt idx="5">
                  <c:v>1520</c:v>
                </c:pt>
                <c:pt idx="6">
                  <c:v>52500</c:v>
                </c:pt>
                <c:pt idx="7">
                  <c:v>60730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7B-4D10-B6B6-04AFDA2FA5CA}"/>
            </c:ext>
          </c:extLst>
        </c:ser>
        <c:ser>
          <c:idx val="4"/>
          <c:order val="2"/>
          <c:tx>
            <c:strRef>
              <c:f>'ANNEX F'!$Q$21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F'!$G$21:$G$31</c:f>
              <c:numCache>
                <c:formatCode>0.0</c:formatCode>
                <c:ptCount val="11"/>
                <c:pt idx="0">
                  <c:v>61.496996325025471</c:v>
                </c:pt>
                <c:pt idx="1">
                  <c:v>75.658515507822003</c:v>
                </c:pt>
                <c:pt idx="2">
                  <c:v>149.534316016752</c:v>
                </c:pt>
                <c:pt idx="3">
                  <c:v>86.137401270014436</c:v>
                </c:pt>
                <c:pt idx="4">
                  <c:v>95.572904669815458</c:v>
                </c:pt>
                <c:pt idx="5">
                  <c:v>62.70558749289232</c:v>
                </c:pt>
                <c:pt idx="6">
                  <c:v>53.911211618277662</c:v>
                </c:pt>
                <c:pt idx="7">
                  <c:v>59.857384733204299</c:v>
                </c:pt>
                <c:pt idx="8">
                  <c:v>60.846802547460669</c:v>
                </c:pt>
                <c:pt idx="9">
                  <c:v>131.52980407641198</c:v>
                </c:pt>
                <c:pt idx="10">
                  <c:v>147.90292729615416</c:v>
                </c:pt>
              </c:numCache>
            </c:numRef>
          </c:xVal>
          <c:yVal>
            <c:numRef>
              <c:f>'ANNEX F'!$H$21:$H$31</c:f>
              <c:numCache>
                <c:formatCode>0</c:formatCode>
                <c:ptCount val="11"/>
                <c:pt idx="0">
                  <c:v>25160</c:v>
                </c:pt>
                <c:pt idx="1">
                  <c:v>11530</c:v>
                </c:pt>
                <c:pt idx="2">
                  <c:v>1480</c:v>
                </c:pt>
                <c:pt idx="3">
                  <c:v>12160</c:v>
                </c:pt>
                <c:pt idx="4">
                  <c:v>8640</c:v>
                </c:pt>
                <c:pt idx="5">
                  <c:v>48790</c:v>
                </c:pt>
                <c:pt idx="6">
                  <c:v>39420</c:v>
                </c:pt>
                <c:pt idx="7">
                  <c:v>55740</c:v>
                </c:pt>
                <c:pt idx="8">
                  <c:v>52490</c:v>
                </c:pt>
                <c:pt idx="9">
                  <c:v>1290</c:v>
                </c:pt>
                <c:pt idx="10">
                  <c:v>1590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7B-4D10-B6B6-04AFDA2FA5CA}"/>
            </c:ext>
          </c:extLst>
        </c:ser>
        <c:ser>
          <c:idx val="2"/>
          <c:order val="3"/>
          <c:tx>
            <c:strRef>
              <c:f>'ANNEX F'!$Q$35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3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F'!$G$32:$G$41</c:f>
              <c:numCache>
                <c:formatCode>0.0</c:formatCode>
                <c:ptCount val="10"/>
                <c:pt idx="0">
                  <c:v>95.225176943364559</c:v>
                </c:pt>
                <c:pt idx="1">
                  <c:v>128.1113473225999</c:v>
                </c:pt>
                <c:pt idx="2">
                  <c:v>100.65615885432712</c:v>
                </c:pt>
                <c:pt idx="3">
                  <c:v>140.14816645011629</c:v>
                </c:pt>
                <c:pt idx="4">
                  <c:v>72.768425248138684</c:v>
                </c:pt>
                <c:pt idx="5">
                  <c:v>96.334143003213498</c:v>
                </c:pt>
                <c:pt idx="6">
                  <c:v>182.0870557159069</c:v>
                </c:pt>
                <c:pt idx="7">
                  <c:v>83.120038322905941</c:v>
                </c:pt>
                <c:pt idx="8">
                  <c:v>135.21574924631491</c:v>
                </c:pt>
                <c:pt idx="9">
                  <c:v>58.668150110218924</c:v>
                </c:pt>
              </c:numCache>
            </c:numRef>
          </c:xVal>
          <c:yVal>
            <c:numRef>
              <c:f>'ANNEX F'!$H$32:$H$41</c:f>
              <c:numCache>
                <c:formatCode>0</c:formatCode>
                <c:ptCount val="10"/>
                <c:pt idx="0">
                  <c:v>17470</c:v>
                </c:pt>
                <c:pt idx="1">
                  <c:v>3030</c:v>
                </c:pt>
                <c:pt idx="2">
                  <c:v>15910</c:v>
                </c:pt>
                <c:pt idx="3">
                  <c:v>2320</c:v>
                </c:pt>
                <c:pt idx="4">
                  <c:v>27980</c:v>
                </c:pt>
                <c:pt idx="5">
                  <c:v>13210</c:v>
                </c:pt>
                <c:pt idx="6">
                  <c:v>2480</c:v>
                </c:pt>
                <c:pt idx="7">
                  <c:v>13030</c:v>
                </c:pt>
                <c:pt idx="8">
                  <c:v>2400</c:v>
                </c:pt>
                <c:pt idx="9">
                  <c:v>55270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7B-4D10-B6B6-04AFDA2FA5CA}"/>
            </c:ext>
          </c:extLst>
        </c:ser>
        <c:ser>
          <c:idx val="3"/>
          <c:order val="4"/>
          <c:tx>
            <c:strRef>
              <c:f>'ANNEX F'!$Q$45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4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F'!$G$44:$G$51</c:f>
              <c:numCache>
                <c:formatCode>0.0</c:formatCode>
                <c:ptCount val="8"/>
                <c:pt idx="0">
                  <c:v>58.432044460230642</c:v>
                </c:pt>
                <c:pt idx="1">
                  <c:v>131.49796988000315</c:v>
                </c:pt>
                <c:pt idx="2">
                  <c:v>83.255708709336119</c:v>
                </c:pt>
                <c:pt idx="3">
                  <c:v>67.251460516611303</c:v>
                </c:pt>
                <c:pt idx="4">
                  <c:v>143.60136262414673</c:v>
                </c:pt>
                <c:pt idx="5">
                  <c:v>140.80719845840079</c:v>
                </c:pt>
                <c:pt idx="6">
                  <c:v>73.430121759207083</c:v>
                </c:pt>
                <c:pt idx="7">
                  <c:v>70.699202481567681</c:v>
                </c:pt>
              </c:numCache>
            </c:numRef>
          </c:xVal>
          <c:yVal>
            <c:numRef>
              <c:f>'ANNEX F'!$H$44:$H$51</c:f>
              <c:numCache>
                <c:formatCode>0</c:formatCode>
                <c:ptCount val="8"/>
                <c:pt idx="0">
                  <c:v>83320</c:v>
                </c:pt>
                <c:pt idx="1">
                  <c:v>1880</c:v>
                </c:pt>
                <c:pt idx="2">
                  <c:v>11170</c:v>
                </c:pt>
                <c:pt idx="3">
                  <c:v>24640</c:v>
                </c:pt>
                <c:pt idx="4">
                  <c:v>1510</c:v>
                </c:pt>
                <c:pt idx="5">
                  <c:v>2230</c:v>
                </c:pt>
                <c:pt idx="6">
                  <c:v>16440</c:v>
                </c:pt>
                <c:pt idx="7">
                  <c:v>13140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7B-4D10-B6B6-04AFDA2FA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200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Δ</a:t>
                </a: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a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4121592470856145"/>
          <c:y val="0.33799141646095332"/>
          <c:w val="0.19782405086849661"/>
          <c:h val="0.526886803933470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ROTTURA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2987302956924"/>
          <c:y val="0.13333426166967643"/>
          <c:w val="0.83148063546848427"/>
          <c:h val="0.7315993964836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'ANNEX E'!$Q$4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E'!$G$6:$G$10</c:f>
              <c:numCache>
                <c:formatCode>0.0</c:formatCode>
                <c:ptCount val="5"/>
                <c:pt idx="0">
                  <c:v>270.3565142468031</c:v>
                </c:pt>
                <c:pt idx="1">
                  <c:v>218.9301355424972</c:v>
                </c:pt>
                <c:pt idx="2">
                  <c:v>181.18235200192152</c:v>
                </c:pt>
                <c:pt idx="3">
                  <c:v>170.17507265261514</c:v>
                </c:pt>
                <c:pt idx="4">
                  <c:v>89.072355262648344</c:v>
                </c:pt>
              </c:numCache>
            </c:numRef>
          </c:xVal>
          <c:yVal>
            <c:numRef>
              <c:f>'ANNEX E'!$J$6:$J$10</c:f>
              <c:numCache>
                <c:formatCode>0</c:formatCode>
                <c:ptCount val="5"/>
                <c:pt idx="0">
                  <c:v>2998</c:v>
                </c:pt>
                <c:pt idx="1">
                  <c:v>2916</c:v>
                </c:pt>
                <c:pt idx="2">
                  <c:v>6455</c:v>
                </c:pt>
                <c:pt idx="3">
                  <c:v>8023</c:v>
                </c:pt>
                <c:pt idx="4">
                  <c:v>114814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40-4F83-9A95-4EE1C25D5B02}"/>
            </c:ext>
          </c:extLst>
        </c:ser>
        <c:ser>
          <c:idx val="1"/>
          <c:order val="1"/>
          <c:tx>
            <c:strRef>
              <c:f>'ANNEX E'!$Q$10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E'!$G$11:$G$15</c:f>
              <c:numCache>
                <c:formatCode>0.0</c:formatCode>
                <c:ptCount val="5"/>
                <c:pt idx="0">
                  <c:v>274.88475283729576</c:v>
                </c:pt>
                <c:pt idx="1">
                  <c:v>105.02228085395753</c:v>
                </c:pt>
                <c:pt idx="2">
                  <c:v>111.68059274613702</c:v>
                </c:pt>
                <c:pt idx="3">
                  <c:v>213.92719279282133</c:v>
                </c:pt>
                <c:pt idx="4">
                  <c:v>273.66221398865548</c:v>
                </c:pt>
              </c:numCache>
            </c:numRef>
          </c:xVal>
          <c:yVal>
            <c:numRef>
              <c:f>'ANNEX E'!$J$11:$J$15</c:f>
              <c:numCache>
                <c:formatCode>0</c:formatCode>
                <c:ptCount val="5"/>
                <c:pt idx="0">
                  <c:v>2628</c:v>
                </c:pt>
                <c:pt idx="1">
                  <c:v>115995</c:v>
                </c:pt>
                <c:pt idx="2">
                  <c:v>46952</c:v>
                </c:pt>
                <c:pt idx="3">
                  <c:v>8597</c:v>
                </c:pt>
                <c:pt idx="4">
                  <c:v>2266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340-4F83-9A95-4EE1C25D5B02}"/>
            </c:ext>
          </c:extLst>
        </c:ser>
        <c:ser>
          <c:idx val="4"/>
          <c:order val="2"/>
          <c:tx>
            <c:strRef>
              <c:f>'ANNEX E'!$Q$16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E'!$G$17:$G$21</c:f>
              <c:numCache>
                <c:formatCode>0.0</c:formatCode>
                <c:ptCount val="5"/>
                <c:pt idx="0">
                  <c:v>99.399084676108416</c:v>
                </c:pt>
                <c:pt idx="1">
                  <c:v>227.52962444998312</c:v>
                </c:pt>
                <c:pt idx="2">
                  <c:v>236.74347280731513</c:v>
                </c:pt>
                <c:pt idx="3">
                  <c:v>145.09705352687868</c:v>
                </c:pt>
                <c:pt idx="4">
                  <c:v>216.93955140937106</c:v>
                </c:pt>
              </c:numCache>
            </c:numRef>
          </c:xVal>
          <c:yVal>
            <c:numRef>
              <c:f>'ANNEX E'!$J$17:$J$21</c:f>
              <c:numCache>
                <c:formatCode>0</c:formatCode>
                <c:ptCount val="5"/>
                <c:pt idx="0">
                  <c:v>54324</c:v>
                </c:pt>
                <c:pt idx="1">
                  <c:v>2530</c:v>
                </c:pt>
                <c:pt idx="2">
                  <c:v>2718</c:v>
                </c:pt>
                <c:pt idx="3">
                  <c:v>11793</c:v>
                </c:pt>
                <c:pt idx="4">
                  <c:v>7336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340-4F83-9A95-4EE1C25D5B02}"/>
            </c:ext>
          </c:extLst>
        </c:ser>
        <c:ser>
          <c:idx val="2"/>
          <c:order val="3"/>
          <c:tx>
            <c:strRef>
              <c:f>'ANNEX E'!$Q$22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E'!$G$22:$G$28</c:f>
              <c:numCache>
                <c:formatCode>0.0</c:formatCode>
                <c:ptCount val="7"/>
                <c:pt idx="0">
                  <c:v>127.23317695944992</c:v>
                </c:pt>
                <c:pt idx="1">
                  <c:v>356.48445204566923</c:v>
                </c:pt>
                <c:pt idx="2">
                  <c:v>243.95159537733326</c:v>
                </c:pt>
                <c:pt idx="3">
                  <c:v>149.6560947021207</c:v>
                </c:pt>
                <c:pt idx="4">
                  <c:v>83.956277262313918</c:v>
                </c:pt>
                <c:pt idx="5">
                  <c:v>301.29716656169524</c:v>
                </c:pt>
                <c:pt idx="6">
                  <c:v>120.24127946465353</c:v>
                </c:pt>
              </c:numCache>
            </c:numRef>
          </c:xVal>
          <c:yVal>
            <c:numRef>
              <c:f>'ANNEX E'!$J$22:$J$28</c:f>
              <c:numCache>
                <c:formatCode>0</c:formatCode>
                <c:ptCount val="7"/>
                <c:pt idx="0">
                  <c:v>18548</c:v>
                </c:pt>
                <c:pt idx="1">
                  <c:v>1701</c:v>
                </c:pt>
                <c:pt idx="2">
                  <c:v>4409</c:v>
                </c:pt>
                <c:pt idx="3">
                  <c:v>9475</c:v>
                </c:pt>
                <c:pt idx="4">
                  <c:v>77922</c:v>
                </c:pt>
                <c:pt idx="5">
                  <c:v>1645</c:v>
                </c:pt>
                <c:pt idx="6">
                  <c:v>15134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B68-4811-84DB-8143CED8A959}"/>
            </c:ext>
          </c:extLst>
        </c:ser>
        <c:ser>
          <c:idx val="3"/>
          <c:order val="4"/>
          <c:tx>
            <c:strRef>
              <c:f>'ANNEX E'!$Q$28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E'!$G$27:$G$31</c:f>
              <c:numCache>
                <c:formatCode>0.0</c:formatCode>
                <c:ptCount val="5"/>
                <c:pt idx="0">
                  <c:v>301.29716656169524</c:v>
                </c:pt>
                <c:pt idx="1">
                  <c:v>120.24127946465353</c:v>
                </c:pt>
                <c:pt idx="2">
                  <c:v>98.727658266813009</c:v>
                </c:pt>
                <c:pt idx="3">
                  <c:v>191.08899818587605</c:v>
                </c:pt>
                <c:pt idx="4">
                  <c:v>102.01664292322781</c:v>
                </c:pt>
              </c:numCache>
            </c:numRef>
          </c:xVal>
          <c:yVal>
            <c:numRef>
              <c:f>'ANNEX E'!$J$27:$J$31</c:f>
              <c:numCache>
                <c:formatCode>0</c:formatCode>
                <c:ptCount val="5"/>
                <c:pt idx="0">
                  <c:v>1645</c:v>
                </c:pt>
                <c:pt idx="1">
                  <c:v>15134</c:v>
                </c:pt>
                <c:pt idx="2">
                  <c:v>41685</c:v>
                </c:pt>
                <c:pt idx="3">
                  <c:v>6917</c:v>
                </c:pt>
                <c:pt idx="4">
                  <c:v>33239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B68-4811-84DB-8143CED8A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40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Δ</a:t>
                </a: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4743901241763921"/>
          <c:y val="0.59205066603345768"/>
          <c:w val="0.121412200048038"/>
          <c:h val="0.25068163874024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ANNEX 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'ANNEX E'!$AB$13</c:f>
              <c:strCache>
                <c:ptCount val="1"/>
                <c:pt idx="0">
                  <c:v>NER, 0.1‰</c:v>
                </c:pt>
              </c:strCache>
            </c:strRef>
          </c:tx>
          <c:spPr>
            <a:pattFill prst="dkUp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'ANNEX E'!$AA$15:$AA$19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'ANNEX E'!$AB$15:$AB$19</c:f>
              <c:numCache>
                <c:formatCode>0</c:formatCode>
                <c:ptCount val="5"/>
                <c:pt idx="0">
                  <c:v>45666.214000969921</c:v>
                </c:pt>
                <c:pt idx="1">
                  <c:v>48007.090520926329</c:v>
                </c:pt>
                <c:pt idx="2">
                  <c:v>38185.468260094574</c:v>
                </c:pt>
                <c:pt idx="3">
                  <c:v>24881.803107944565</c:v>
                </c:pt>
                <c:pt idx="4">
                  <c:v>26245.149819503233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4B-4144-8EFE-B85B999FA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axId val="999863872"/>
        <c:axId val="1126413424"/>
      </c:barChart>
      <c:lineChart>
        <c:grouping val="standard"/>
        <c:varyColors val="0"/>
        <c:ser>
          <c:idx val="1"/>
          <c:order val="1"/>
          <c:tx>
            <c:strRef>
              <c:f>'ANNEX E'!$AC$13</c:f>
              <c:strCache>
                <c:ptCount val="1"/>
                <c:pt idx="0">
                  <c:v>nε, ER</c:v>
                </c:pt>
              </c:strCache>
            </c:strRef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'ANNEX E'!$AA$15:$AA$19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'ANNEX E'!$AC$15:$AC$19</c:f>
              <c:numCache>
                <c:formatCode>0.000</c:formatCode>
                <c:ptCount val="5"/>
                <c:pt idx="0">
                  <c:v>3.5313600641188896</c:v>
                </c:pt>
                <c:pt idx="1">
                  <c:v>3.3350088536770999</c:v>
                </c:pt>
                <c:pt idx="2">
                  <c:v>3.3013928273570374</c:v>
                </c:pt>
                <c:pt idx="3">
                  <c:v>2.5399160551296682</c:v>
                </c:pt>
                <c:pt idx="4">
                  <c:v>2.7870908951550399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4B-4144-8EFE-B85B999FA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611648"/>
        <c:axId val="1336600608"/>
      </c:lineChart>
      <c:catAx>
        <c:axId val="99986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26413424"/>
        <c:crosses val="autoZero"/>
        <c:auto val="1"/>
        <c:lblAlgn val="ctr"/>
        <c:lblOffset val="100"/>
        <c:noMultiLvlLbl val="0"/>
      </c:catAx>
      <c:valAx>
        <c:axId val="112641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Nf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99863872"/>
        <c:crosses val="autoZero"/>
        <c:crossBetween val="between"/>
      </c:valAx>
      <c:valAx>
        <c:axId val="133660060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el-GR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</a:t>
                </a:r>
                <a:r>
                  <a:rPr lang="it-IT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[-]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36611648"/>
        <c:crosses val="max"/>
        <c:crossBetween val="between"/>
      </c:valAx>
      <c:catAx>
        <c:axId val="1336611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66006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 sz="1400" b="1" i="0" u="none" strike="noStrike" baseline="0">
                <a:effectLst/>
              </a:rPr>
              <a:t>ε</a:t>
            </a:r>
            <a:r>
              <a:rPr lang="el-GR" sz="1400" b="1" i="0" u="none" strike="noStrike" baseline="-25000">
                <a:effectLst/>
              </a:rPr>
              <a:t>6</a:t>
            </a:r>
            <a:r>
              <a:rPr lang="el-GR" sz="1400" b="1" i="0" u="none" strike="noStrike" baseline="0">
                <a:effectLst/>
              </a:rPr>
              <a:t> [μ</a:t>
            </a:r>
            <a:r>
              <a:rPr lang="it-IT" sz="1400" b="1" i="0" u="none" strike="noStrike" baseline="0">
                <a:effectLst/>
              </a:rPr>
              <a:t>m/m]</a:t>
            </a:r>
            <a:r>
              <a:rPr lang="it-IT" sz="1400" b="0" i="0" u="none" strike="noStrike" baseline="0">
                <a:effectLst/>
              </a:rPr>
              <a:t> 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'ANNEX E'!$AB$5</c:f>
              <c:strCache>
                <c:ptCount val="1"/>
                <c:pt idx="0">
                  <c:v>Nf, 50%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'ANNEX E'!$AA$6:$AA$10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'ANNEX E'!$AB$6:$AB$10</c:f>
              <c:numCache>
                <c:formatCode>0</c:formatCode>
                <c:ptCount val="5"/>
                <c:pt idx="0">
                  <c:v>37.99973806289055</c:v>
                </c:pt>
                <c:pt idx="1">
                  <c:v>40.698169139451373</c:v>
                </c:pt>
                <c:pt idx="2">
                  <c:v>31.201940060778032</c:v>
                </c:pt>
                <c:pt idx="3">
                  <c:v>22.85669286413739</c:v>
                </c:pt>
                <c:pt idx="4">
                  <c:v>27.089094765716354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C-4E90-8BD0-92EBABFEB2C1}"/>
            </c:ext>
          </c:extLst>
        </c:ser>
        <c:ser>
          <c:idx val="1"/>
          <c:order val="1"/>
          <c:tx>
            <c:strRef>
              <c:f>'ANNEX E'!$AC$5</c:f>
              <c:strCache>
                <c:ptCount val="1"/>
                <c:pt idx="0">
                  <c:v>Nf, 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'ANNEX E'!$AA$6:$AA$10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'ANNEX E'!$AC$6:$AC$10</c:f>
              <c:numCache>
                <c:formatCode>0</c:formatCode>
                <c:ptCount val="5"/>
                <c:pt idx="0">
                  <c:v>41.728052492072607</c:v>
                </c:pt>
                <c:pt idx="1">
                  <c:v>45.90819559904655</c:v>
                </c:pt>
                <c:pt idx="2">
                  <c:v>37.192335943599971</c:v>
                </c:pt>
                <c:pt idx="3">
                  <c:v>23.358048092436537</c:v>
                </c:pt>
                <c:pt idx="4">
                  <c:v>27.08690971907658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9C-4E90-8BD0-92EBABFEB2C1}"/>
            </c:ext>
          </c:extLst>
        </c:ser>
        <c:ser>
          <c:idx val="2"/>
          <c:order val="2"/>
          <c:tx>
            <c:strRef>
              <c:f>'ANNEX E'!$AD$5</c:f>
              <c:strCache>
                <c:ptCount val="1"/>
                <c:pt idx="0">
                  <c:v>Nf, ROTTURA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'ANNEX E'!$AA$6:$AA$10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'ANNEX E'!$AD$6:$AD$10</c:f>
              <c:numCache>
                <c:formatCode>0</c:formatCode>
                <c:ptCount val="5"/>
                <c:pt idx="0">
                  <c:v>45.579099529821917</c:v>
                </c:pt>
                <c:pt idx="1">
                  <c:v>47.657203363470693</c:v>
                </c:pt>
                <c:pt idx="2">
                  <c:v>39.104963549924086</c:v>
                </c:pt>
                <c:pt idx="3">
                  <c:v>26.456065531938055</c:v>
                </c:pt>
                <c:pt idx="4">
                  <c:v>28.789696738896637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9C-4E90-8BD0-92EBABFEB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9902687"/>
        <c:axId val="779899807"/>
      </c:barChart>
      <c:catAx>
        <c:axId val="779902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79899807"/>
        <c:crosses val="autoZero"/>
        <c:auto val="1"/>
        <c:lblAlgn val="ctr"/>
        <c:lblOffset val="100"/>
        <c:noMultiLvlLbl val="0"/>
      </c:catAx>
      <c:valAx>
        <c:axId val="779899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79902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50%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2987302956924"/>
          <c:y val="0.13333426166967643"/>
          <c:w val="0.83148063546848427"/>
          <c:h val="0.7315993964836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'ANNEX E'!$Q$4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E'!$F$6:$F$10</c:f>
              <c:numCache>
                <c:formatCode>General</c:formatCode>
                <c:ptCount val="5"/>
                <c:pt idx="0">
                  <c:v>900</c:v>
                </c:pt>
                <c:pt idx="1">
                  <c:v>900</c:v>
                </c:pt>
                <c:pt idx="2">
                  <c:v>680</c:v>
                </c:pt>
                <c:pt idx="3">
                  <c:v>700</c:v>
                </c:pt>
                <c:pt idx="4">
                  <c:v>520</c:v>
                </c:pt>
              </c:numCache>
            </c:numRef>
          </c:xVal>
          <c:yVal>
            <c:numRef>
              <c:f>'ANNEX E'!$H$6:$H$10</c:f>
              <c:numCache>
                <c:formatCode>0</c:formatCode>
                <c:ptCount val="5"/>
                <c:pt idx="0">
                  <c:v>2568</c:v>
                </c:pt>
                <c:pt idx="1">
                  <c:v>2266</c:v>
                </c:pt>
                <c:pt idx="2">
                  <c:v>3422</c:v>
                </c:pt>
                <c:pt idx="3">
                  <c:v>5827</c:v>
                </c:pt>
                <c:pt idx="4">
                  <c:v>76735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1D-4C5E-AC80-0C630540D749}"/>
            </c:ext>
          </c:extLst>
        </c:ser>
        <c:ser>
          <c:idx val="1"/>
          <c:order val="1"/>
          <c:tx>
            <c:strRef>
              <c:f>'ANNEX E'!$Q$10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E'!$F$11:$F$15</c:f>
              <c:numCache>
                <c:formatCode>General</c:formatCode>
                <c:ptCount val="5"/>
                <c:pt idx="0">
                  <c:v>900</c:v>
                </c:pt>
                <c:pt idx="1">
                  <c:v>440</c:v>
                </c:pt>
                <c:pt idx="2">
                  <c:v>450</c:v>
                </c:pt>
                <c:pt idx="3">
                  <c:v>650</c:v>
                </c:pt>
                <c:pt idx="4">
                  <c:v>920</c:v>
                </c:pt>
              </c:numCache>
            </c:numRef>
          </c:xVal>
          <c:yVal>
            <c:numRef>
              <c:f>'ANNEX E'!$H$11:$H$15</c:f>
              <c:numCache>
                <c:formatCode>0</c:formatCode>
                <c:ptCount val="5"/>
                <c:pt idx="0">
                  <c:v>1924</c:v>
                </c:pt>
                <c:pt idx="1">
                  <c:v>74415</c:v>
                </c:pt>
                <c:pt idx="2">
                  <c:v>33367</c:v>
                </c:pt>
                <c:pt idx="3">
                  <c:v>6639</c:v>
                </c:pt>
                <c:pt idx="4">
                  <c:v>1804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71D-4C5E-AC80-0C630540D749}"/>
            </c:ext>
          </c:extLst>
        </c:ser>
        <c:ser>
          <c:idx val="4"/>
          <c:order val="2"/>
          <c:tx>
            <c:strRef>
              <c:f>'ANNEX E'!$Q$16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E'!$F$17:$F$21</c:f>
              <c:numCache>
                <c:formatCode>General</c:formatCode>
                <c:ptCount val="5"/>
                <c:pt idx="0">
                  <c:v>520</c:v>
                </c:pt>
                <c:pt idx="1">
                  <c:v>950</c:v>
                </c:pt>
                <c:pt idx="2">
                  <c:v>900</c:v>
                </c:pt>
                <c:pt idx="3">
                  <c:v>700</c:v>
                </c:pt>
                <c:pt idx="4">
                  <c:v>650</c:v>
                </c:pt>
              </c:numCache>
            </c:numRef>
          </c:xVal>
          <c:yVal>
            <c:numRef>
              <c:f>'ANNEX E'!$H$17:$H$21</c:f>
              <c:numCache>
                <c:formatCode>0</c:formatCode>
                <c:ptCount val="5"/>
                <c:pt idx="0">
                  <c:v>34539</c:v>
                </c:pt>
                <c:pt idx="1">
                  <c:v>1818</c:v>
                </c:pt>
                <c:pt idx="2">
                  <c:v>2104</c:v>
                </c:pt>
                <c:pt idx="3">
                  <c:v>7224</c:v>
                </c:pt>
                <c:pt idx="4">
                  <c:v>4985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71D-4C5E-AC80-0C630540D749}"/>
            </c:ext>
          </c:extLst>
        </c:ser>
        <c:ser>
          <c:idx val="2"/>
          <c:order val="3"/>
          <c:tx>
            <c:strRef>
              <c:f>'ANNEX E'!$Q$22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lg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E'!$F$22:$F$28</c:f>
              <c:numCache>
                <c:formatCode>General</c:formatCode>
                <c:ptCount val="7"/>
                <c:pt idx="0">
                  <c:v>800</c:v>
                </c:pt>
                <c:pt idx="1">
                  <c:v>1100</c:v>
                </c:pt>
                <c:pt idx="2">
                  <c:v>1000</c:v>
                </c:pt>
                <c:pt idx="3">
                  <c:v>870</c:v>
                </c:pt>
                <c:pt idx="4">
                  <c:v>620</c:v>
                </c:pt>
                <c:pt idx="5">
                  <c:v>1200</c:v>
                </c:pt>
                <c:pt idx="6">
                  <c:v>900</c:v>
                </c:pt>
              </c:numCache>
            </c:numRef>
          </c:xVal>
          <c:yVal>
            <c:numRef>
              <c:f>'ANNEX E'!$H$22:$H$28</c:f>
              <c:numCache>
                <c:formatCode>0</c:formatCode>
                <c:ptCount val="7"/>
                <c:pt idx="0">
                  <c:v>14070</c:v>
                </c:pt>
                <c:pt idx="1">
                  <c:v>1451</c:v>
                </c:pt>
                <c:pt idx="2">
                  <c:v>3226</c:v>
                </c:pt>
                <c:pt idx="3">
                  <c:v>7060</c:v>
                </c:pt>
                <c:pt idx="4">
                  <c:v>58209</c:v>
                </c:pt>
                <c:pt idx="5">
                  <c:v>1307</c:v>
                </c:pt>
                <c:pt idx="6">
                  <c:v>11929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71D-4C5E-AC80-0C630540D749}"/>
            </c:ext>
          </c:extLst>
        </c:ser>
        <c:ser>
          <c:idx val="3"/>
          <c:order val="4"/>
          <c:tx>
            <c:strRef>
              <c:f>'ANNEX E'!$Q$28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E'!$F$27:$F$31</c:f>
              <c:numCache>
                <c:formatCode>General</c:formatCode>
                <c:ptCount val="5"/>
                <c:pt idx="0">
                  <c:v>1200</c:v>
                </c:pt>
                <c:pt idx="1">
                  <c:v>900</c:v>
                </c:pt>
                <c:pt idx="2">
                  <c:v>700</c:v>
                </c:pt>
                <c:pt idx="3">
                  <c:v>1000</c:v>
                </c:pt>
                <c:pt idx="4">
                  <c:v>850</c:v>
                </c:pt>
              </c:numCache>
            </c:numRef>
          </c:xVal>
          <c:yVal>
            <c:numRef>
              <c:f>'ANNEX E'!$H$27:$H$31</c:f>
              <c:numCache>
                <c:formatCode>0</c:formatCode>
                <c:ptCount val="5"/>
                <c:pt idx="0">
                  <c:v>1307</c:v>
                </c:pt>
                <c:pt idx="1">
                  <c:v>11929</c:v>
                </c:pt>
                <c:pt idx="2">
                  <c:v>33112</c:v>
                </c:pt>
                <c:pt idx="3">
                  <c:v>5452</c:v>
                </c:pt>
                <c:pt idx="4">
                  <c:v>28509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71D-4C5E-AC80-0C630540D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50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 baseline="0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[kPa]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5164372992764022"/>
          <c:y val="0.53321167754723153"/>
          <c:w val="0.1232975772297976"/>
          <c:h val="0.25068163874024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5478243852103555E-2"/>
          <c:y val="0.16484183601953464"/>
          <c:w val="0.83148063546848427"/>
          <c:h val="0.7315993964836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'ANNEX E'!$Q$4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E'!$F$6:$F$10</c:f>
              <c:numCache>
                <c:formatCode>General</c:formatCode>
                <c:ptCount val="5"/>
                <c:pt idx="0">
                  <c:v>900</c:v>
                </c:pt>
                <c:pt idx="1">
                  <c:v>900</c:v>
                </c:pt>
                <c:pt idx="2">
                  <c:v>680</c:v>
                </c:pt>
                <c:pt idx="3">
                  <c:v>700</c:v>
                </c:pt>
                <c:pt idx="4">
                  <c:v>520</c:v>
                </c:pt>
              </c:numCache>
            </c:numRef>
          </c:xVal>
          <c:yVal>
            <c:numRef>
              <c:f>'ANNEX E'!$I$6:$I$10</c:f>
              <c:numCache>
                <c:formatCode>0</c:formatCode>
                <c:ptCount val="5"/>
                <c:pt idx="0">
                  <c:v>2342</c:v>
                </c:pt>
                <c:pt idx="1">
                  <c:v>2052</c:v>
                </c:pt>
                <c:pt idx="2">
                  <c:v>4210</c:v>
                </c:pt>
                <c:pt idx="3">
                  <c:v>6009</c:v>
                </c:pt>
                <c:pt idx="4">
                  <c:v>86429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A7-43A8-B38D-47C6B9FDF452}"/>
            </c:ext>
          </c:extLst>
        </c:ser>
        <c:ser>
          <c:idx val="1"/>
          <c:order val="1"/>
          <c:tx>
            <c:strRef>
              <c:f>'ANNEX E'!$Q$10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E'!$F$11:$F$15</c:f>
              <c:numCache>
                <c:formatCode>General</c:formatCode>
                <c:ptCount val="5"/>
                <c:pt idx="0">
                  <c:v>900</c:v>
                </c:pt>
                <c:pt idx="1">
                  <c:v>440</c:v>
                </c:pt>
                <c:pt idx="2">
                  <c:v>450</c:v>
                </c:pt>
                <c:pt idx="3">
                  <c:v>650</c:v>
                </c:pt>
                <c:pt idx="4">
                  <c:v>920</c:v>
                </c:pt>
              </c:numCache>
            </c:numRef>
          </c:xVal>
          <c:yVal>
            <c:numRef>
              <c:f>'ANNEX E'!$I$11:$I$15</c:f>
              <c:numCache>
                <c:formatCode>0</c:formatCode>
                <c:ptCount val="5"/>
                <c:pt idx="0">
                  <c:v>1804</c:v>
                </c:pt>
                <c:pt idx="1">
                  <c:v>94768</c:v>
                </c:pt>
                <c:pt idx="2">
                  <c:v>37010</c:v>
                </c:pt>
                <c:pt idx="3">
                  <c:v>6149</c:v>
                </c:pt>
                <c:pt idx="4">
                  <c:v>1667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8A7-43A8-B38D-47C6B9FDF452}"/>
            </c:ext>
          </c:extLst>
        </c:ser>
        <c:ser>
          <c:idx val="4"/>
          <c:order val="2"/>
          <c:tx>
            <c:strRef>
              <c:f>'ANNEX E'!$Q$16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E'!$F$17:$F$21</c:f>
              <c:numCache>
                <c:formatCode>General</c:formatCode>
                <c:ptCount val="5"/>
                <c:pt idx="0">
                  <c:v>520</c:v>
                </c:pt>
                <c:pt idx="1">
                  <c:v>950</c:v>
                </c:pt>
                <c:pt idx="2">
                  <c:v>900</c:v>
                </c:pt>
                <c:pt idx="3">
                  <c:v>700</c:v>
                </c:pt>
                <c:pt idx="4">
                  <c:v>650</c:v>
                </c:pt>
              </c:numCache>
            </c:numRef>
          </c:xVal>
          <c:yVal>
            <c:numRef>
              <c:f>'ANNEX E'!$I$17:$I$21</c:f>
              <c:numCache>
                <c:formatCode>0</c:formatCode>
                <c:ptCount val="5"/>
                <c:pt idx="0">
                  <c:v>43150</c:v>
                </c:pt>
                <c:pt idx="1">
                  <c:v>1823</c:v>
                </c:pt>
                <c:pt idx="2">
                  <c:v>2004</c:v>
                </c:pt>
                <c:pt idx="3">
                  <c:v>8619</c:v>
                </c:pt>
                <c:pt idx="4">
                  <c:v>5328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8A7-43A8-B38D-47C6B9FDF452}"/>
            </c:ext>
          </c:extLst>
        </c:ser>
        <c:ser>
          <c:idx val="2"/>
          <c:order val="3"/>
          <c:tx>
            <c:strRef>
              <c:f>'ANNEX E'!$Q$22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E'!$F$22:$F$28</c:f>
              <c:numCache>
                <c:formatCode>General</c:formatCode>
                <c:ptCount val="7"/>
                <c:pt idx="0">
                  <c:v>800</c:v>
                </c:pt>
                <c:pt idx="1">
                  <c:v>1100</c:v>
                </c:pt>
                <c:pt idx="2">
                  <c:v>1000</c:v>
                </c:pt>
                <c:pt idx="3">
                  <c:v>870</c:v>
                </c:pt>
                <c:pt idx="4">
                  <c:v>620</c:v>
                </c:pt>
                <c:pt idx="5">
                  <c:v>1200</c:v>
                </c:pt>
                <c:pt idx="6">
                  <c:v>900</c:v>
                </c:pt>
              </c:numCache>
            </c:numRef>
          </c:xVal>
          <c:yVal>
            <c:numRef>
              <c:f>'ANNEX E'!$I$22:$I$28</c:f>
              <c:numCache>
                <c:formatCode>0</c:formatCode>
                <c:ptCount val="7"/>
                <c:pt idx="0">
                  <c:v>13909</c:v>
                </c:pt>
                <c:pt idx="1">
                  <c:v>1277</c:v>
                </c:pt>
                <c:pt idx="2">
                  <c:v>3121</c:v>
                </c:pt>
                <c:pt idx="3">
                  <c:v>6742</c:v>
                </c:pt>
                <c:pt idx="4">
                  <c:v>56017</c:v>
                </c:pt>
                <c:pt idx="5">
                  <c:v>1185</c:v>
                </c:pt>
                <c:pt idx="6">
                  <c:v>11305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8A7-43A8-B38D-47C6B9FDF452}"/>
            </c:ext>
          </c:extLst>
        </c:ser>
        <c:ser>
          <c:idx val="3"/>
          <c:order val="4"/>
          <c:tx>
            <c:strRef>
              <c:f>'ANNEX E'!$Q$28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E'!$F$27:$F$31</c:f>
              <c:numCache>
                <c:formatCode>General</c:formatCode>
                <c:ptCount val="5"/>
                <c:pt idx="0">
                  <c:v>1200</c:v>
                </c:pt>
                <c:pt idx="1">
                  <c:v>900</c:v>
                </c:pt>
                <c:pt idx="2">
                  <c:v>700</c:v>
                </c:pt>
                <c:pt idx="3">
                  <c:v>1000</c:v>
                </c:pt>
                <c:pt idx="4">
                  <c:v>850</c:v>
                </c:pt>
              </c:numCache>
            </c:numRef>
          </c:xVal>
          <c:yVal>
            <c:numRef>
              <c:f>'ANNEX E'!$I$27:$I$31</c:f>
              <c:numCache>
                <c:formatCode>0</c:formatCode>
                <c:ptCount val="5"/>
                <c:pt idx="0">
                  <c:v>1185</c:v>
                </c:pt>
                <c:pt idx="1">
                  <c:v>11305</c:v>
                </c:pt>
                <c:pt idx="2">
                  <c:v>32358</c:v>
                </c:pt>
                <c:pt idx="3">
                  <c:v>4947</c:v>
                </c:pt>
                <c:pt idx="4">
                  <c:v>25901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8A7-43A8-B38D-47C6B9FDF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50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 baseline="0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[kPa]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072624697315023"/>
          <c:y val="0.58909413862621574"/>
          <c:w val="0.12493924061732169"/>
          <c:h val="0.25068163874024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ROTTURA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2987302956924"/>
          <c:y val="0.13333426166967643"/>
          <c:w val="0.83148063546848427"/>
          <c:h val="0.7315993964836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'ANNEX E'!$Q$4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E'!$F$6:$F$10</c:f>
              <c:numCache>
                <c:formatCode>General</c:formatCode>
                <c:ptCount val="5"/>
                <c:pt idx="0">
                  <c:v>900</c:v>
                </c:pt>
                <c:pt idx="1">
                  <c:v>900</c:v>
                </c:pt>
                <c:pt idx="2">
                  <c:v>680</c:v>
                </c:pt>
                <c:pt idx="3">
                  <c:v>700</c:v>
                </c:pt>
                <c:pt idx="4">
                  <c:v>520</c:v>
                </c:pt>
              </c:numCache>
            </c:numRef>
          </c:xVal>
          <c:yVal>
            <c:numRef>
              <c:f>'ANNEX E'!$J$6:$J$10</c:f>
              <c:numCache>
                <c:formatCode>0</c:formatCode>
                <c:ptCount val="5"/>
                <c:pt idx="0">
                  <c:v>2998</c:v>
                </c:pt>
                <c:pt idx="1">
                  <c:v>2916</c:v>
                </c:pt>
                <c:pt idx="2">
                  <c:v>6455</c:v>
                </c:pt>
                <c:pt idx="3">
                  <c:v>8023</c:v>
                </c:pt>
                <c:pt idx="4">
                  <c:v>114814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85-4A80-ABD6-9380D3FC250A}"/>
            </c:ext>
          </c:extLst>
        </c:ser>
        <c:ser>
          <c:idx val="1"/>
          <c:order val="1"/>
          <c:tx>
            <c:strRef>
              <c:f>'ANNEX E'!$Q$10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E'!$F$11:$F$15</c:f>
              <c:numCache>
                <c:formatCode>General</c:formatCode>
                <c:ptCount val="5"/>
                <c:pt idx="0">
                  <c:v>900</c:v>
                </c:pt>
                <c:pt idx="1">
                  <c:v>440</c:v>
                </c:pt>
                <c:pt idx="2">
                  <c:v>450</c:v>
                </c:pt>
                <c:pt idx="3">
                  <c:v>650</c:v>
                </c:pt>
                <c:pt idx="4">
                  <c:v>920</c:v>
                </c:pt>
              </c:numCache>
            </c:numRef>
          </c:xVal>
          <c:yVal>
            <c:numRef>
              <c:f>'ANNEX E'!$J$11:$J$15</c:f>
              <c:numCache>
                <c:formatCode>0</c:formatCode>
                <c:ptCount val="5"/>
                <c:pt idx="0">
                  <c:v>2628</c:v>
                </c:pt>
                <c:pt idx="1">
                  <c:v>115995</c:v>
                </c:pt>
                <c:pt idx="2">
                  <c:v>46952</c:v>
                </c:pt>
                <c:pt idx="3">
                  <c:v>8597</c:v>
                </c:pt>
                <c:pt idx="4">
                  <c:v>2266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585-4A80-ABD6-9380D3FC250A}"/>
            </c:ext>
          </c:extLst>
        </c:ser>
        <c:ser>
          <c:idx val="4"/>
          <c:order val="2"/>
          <c:tx>
            <c:strRef>
              <c:f>'ANNEX E'!$Q$16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E'!$F$17:$F$21</c:f>
              <c:numCache>
                <c:formatCode>General</c:formatCode>
                <c:ptCount val="5"/>
                <c:pt idx="0">
                  <c:v>520</c:v>
                </c:pt>
                <c:pt idx="1">
                  <c:v>950</c:v>
                </c:pt>
                <c:pt idx="2">
                  <c:v>900</c:v>
                </c:pt>
                <c:pt idx="3">
                  <c:v>700</c:v>
                </c:pt>
                <c:pt idx="4">
                  <c:v>650</c:v>
                </c:pt>
              </c:numCache>
            </c:numRef>
          </c:xVal>
          <c:yVal>
            <c:numRef>
              <c:f>'ANNEX E'!$J$17:$J$21</c:f>
              <c:numCache>
                <c:formatCode>0</c:formatCode>
                <c:ptCount val="5"/>
                <c:pt idx="0">
                  <c:v>54324</c:v>
                </c:pt>
                <c:pt idx="1">
                  <c:v>2530</c:v>
                </c:pt>
                <c:pt idx="2">
                  <c:v>2718</c:v>
                </c:pt>
                <c:pt idx="3">
                  <c:v>11793</c:v>
                </c:pt>
                <c:pt idx="4">
                  <c:v>7336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585-4A80-ABD6-9380D3FC250A}"/>
            </c:ext>
          </c:extLst>
        </c:ser>
        <c:ser>
          <c:idx val="2"/>
          <c:order val="3"/>
          <c:tx>
            <c:strRef>
              <c:f>'ANNEX E'!$Q$22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E'!$F$22:$F$28</c:f>
              <c:numCache>
                <c:formatCode>General</c:formatCode>
                <c:ptCount val="7"/>
                <c:pt idx="0">
                  <c:v>800</c:v>
                </c:pt>
                <c:pt idx="1">
                  <c:v>1100</c:v>
                </c:pt>
                <c:pt idx="2">
                  <c:v>1000</c:v>
                </c:pt>
                <c:pt idx="3">
                  <c:v>870</c:v>
                </c:pt>
                <c:pt idx="4">
                  <c:v>620</c:v>
                </c:pt>
                <c:pt idx="5">
                  <c:v>1200</c:v>
                </c:pt>
                <c:pt idx="6">
                  <c:v>900</c:v>
                </c:pt>
              </c:numCache>
            </c:numRef>
          </c:xVal>
          <c:yVal>
            <c:numRef>
              <c:f>'ANNEX E'!$J$22:$J$28</c:f>
              <c:numCache>
                <c:formatCode>0</c:formatCode>
                <c:ptCount val="7"/>
                <c:pt idx="0">
                  <c:v>18548</c:v>
                </c:pt>
                <c:pt idx="1">
                  <c:v>1701</c:v>
                </c:pt>
                <c:pt idx="2">
                  <c:v>4409</c:v>
                </c:pt>
                <c:pt idx="3">
                  <c:v>9475</c:v>
                </c:pt>
                <c:pt idx="4">
                  <c:v>77922</c:v>
                </c:pt>
                <c:pt idx="5">
                  <c:v>1645</c:v>
                </c:pt>
                <c:pt idx="6">
                  <c:v>15134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585-4A80-ABD6-9380D3FC250A}"/>
            </c:ext>
          </c:extLst>
        </c:ser>
        <c:ser>
          <c:idx val="3"/>
          <c:order val="4"/>
          <c:tx>
            <c:strRef>
              <c:f>'ANNEX E'!$Q$28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E'!$F$27:$F$31</c:f>
              <c:numCache>
                <c:formatCode>General</c:formatCode>
                <c:ptCount val="5"/>
                <c:pt idx="0">
                  <c:v>1200</c:v>
                </c:pt>
                <c:pt idx="1">
                  <c:v>900</c:v>
                </c:pt>
                <c:pt idx="2">
                  <c:v>700</c:v>
                </c:pt>
                <c:pt idx="3">
                  <c:v>1000</c:v>
                </c:pt>
                <c:pt idx="4">
                  <c:v>850</c:v>
                </c:pt>
              </c:numCache>
            </c:numRef>
          </c:xVal>
          <c:yVal>
            <c:numRef>
              <c:f>'ANNEX E'!$J$27:$J$31</c:f>
              <c:numCache>
                <c:formatCode>0</c:formatCode>
                <c:ptCount val="5"/>
                <c:pt idx="0">
                  <c:v>1645</c:v>
                </c:pt>
                <c:pt idx="1">
                  <c:v>15134</c:v>
                </c:pt>
                <c:pt idx="2">
                  <c:v>41685</c:v>
                </c:pt>
                <c:pt idx="3">
                  <c:v>6917</c:v>
                </c:pt>
                <c:pt idx="4">
                  <c:v>33239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585-4A80-ABD6-9380D3FC2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50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 baseline="0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[kPa]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4743901241763921"/>
          <c:y val="0.59205066603345768"/>
          <c:w val="0.121412200048038"/>
          <c:h val="0.25068163874024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50%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2987302956924"/>
          <c:y val="0.13333426166967643"/>
          <c:w val="0.83148063546848427"/>
          <c:h val="0.7315993964836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'ANNEX E'!$Q$4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E'!$F$6:$F$10</c:f>
              <c:numCache>
                <c:formatCode>General</c:formatCode>
                <c:ptCount val="5"/>
                <c:pt idx="0">
                  <c:v>900</c:v>
                </c:pt>
                <c:pt idx="1">
                  <c:v>900</c:v>
                </c:pt>
                <c:pt idx="2">
                  <c:v>680</c:v>
                </c:pt>
                <c:pt idx="3">
                  <c:v>700</c:v>
                </c:pt>
                <c:pt idx="4">
                  <c:v>520</c:v>
                </c:pt>
              </c:numCache>
            </c:numRef>
          </c:xVal>
          <c:yVal>
            <c:numRef>
              <c:f>'ANNEX E'!$H$6:$H$10</c:f>
              <c:numCache>
                <c:formatCode>0</c:formatCode>
                <c:ptCount val="5"/>
                <c:pt idx="0">
                  <c:v>2568</c:v>
                </c:pt>
                <c:pt idx="1">
                  <c:v>2266</c:v>
                </c:pt>
                <c:pt idx="2">
                  <c:v>3422</c:v>
                </c:pt>
                <c:pt idx="3">
                  <c:v>5827</c:v>
                </c:pt>
                <c:pt idx="4">
                  <c:v>76735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90-4E7F-9F59-14953508E513}"/>
            </c:ext>
          </c:extLst>
        </c:ser>
        <c:ser>
          <c:idx val="1"/>
          <c:order val="1"/>
          <c:tx>
            <c:strRef>
              <c:f>'ANNEX E'!$Q$10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E'!$F$11:$F$15</c:f>
              <c:numCache>
                <c:formatCode>General</c:formatCode>
                <c:ptCount val="5"/>
                <c:pt idx="0">
                  <c:v>900</c:v>
                </c:pt>
                <c:pt idx="1">
                  <c:v>440</c:v>
                </c:pt>
                <c:pt idx="2">
                  <c:v>450</c:v>
                </c:pt>
                <c:pt idx="3">
                  <c:v>650</c:v>
                </c:pt>
                <c:pt idx="4">
                  <c:v>920</c:v>
                </c:pt>
              </c:numCache>
            </c:numRef>
          </c:xVal>
          <c:yVal>
            <c:numRef>
              <c:f>'ANNEX E'!$H$11:$H$15</c:f>
              <c:numCache>
                <c:formatCode>0</c:formatCode>
                <c:ptCount val="5"/>
                <c:pt idx="0">
                  <c:v>1924</c:v>
                </c:pt>
                <c:pt idx="1">
                  <c:v>74415</c:v>
                </c:pt>
                <c:pt idx="2">
                  <c:v>33367</c:v>
                </c:pt>
                <c:pt idx="3">
                  <c:v>6639</c:v>
                </c:pt>
                <c:pt idx="4">
                  <c:v>1804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F90-4E7F-9F59-14953508E513}"/>
            </c:ext>
          </c:extLst>
        </c:ser>
        <c:ser>
          <c:idx val="4"/>
          <c:order val="2"/>
          <c:tx>
            <c:strRef>
              <c:f>'ANNEX E'!$Q$16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E'!$F$17:$F$21</c:f>
              <c:numCache>
                <c:formatCode>General</c:formatCode>
                <c:ptCount val="5"/>
                <c:pt idx="0">
                  <c:v>520</c:v>
                </c:pt>
                <c:pt idx="1">
                  <c:v>950</c:v>
                </c:pt>
                <c:pt idx="2">
                  <c:v>900</c:v>
                </c:pt>
                <c:pt idx="3">
                  <c:v>700</c:v>
                </c:pt>
                <c:pt idx="4">
                  <c:v>650</c:v>
                </c:pt>
              </c:numCache>
            </c:numRef>
          </c:xVal>
          <c:yVal>
            <c:numRef>
              <c:f>'ANNEX E'!$H$17:$H$21</c:f>
              <c:numCache>
                <c:formatCode>0</c:formatCode>
                <c:ptCount val="5"/>
                <c:pt idx="0">
                  <c:v>34539</c:v>
                </c:pt>
                <c:pt idx="1">
                  <c:v>1818</c:v>
                </c:pt>
                <c:pt idx="2">
                  <c:v>2104</c:v>
                </c:pt>
                <c:pt idx="3">
                  <c:v>7224</c:v>
                </c:pt>
                <c:pt idx="4">
                  <c:v>4985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F90-4E7F-9F59-14953508E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50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 baseline="0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[kPa]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5164372992764022"/>
          <c:y val="0.53321167754723153"/>
          <c:w val="0.1232975772297976"/>
          <c:h val="0.25068163874024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5478243852103555E-2"/>
          <c:y val="0.16484183601953464"/>
          <c:w val="0.83148063546848427"/>
          <c:h val="0.7315993964836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'ANNEX E'!$Q$4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E'!$F$6:$F$10</c:f>
              <c:numCache>
                <c:formatCode>General</c:formatCode>
                <c:ptCount val="5"/>
                <c:pt idx="0">
                  <c:v>900</c:v>
                </c:pt>
                <c:pt idx="1">
                  <c:v>900</c:v>
                </c:pt>
                <c:pt idx="2">
                  <c:v>680</c:v>
                </c:pt>
                <c:pt idx="3">
                  <c:v>700</c:v>
                </c:pt>
                <c:pt idx="4">
                  <c:v>520</c:v>
                </c:pt>
              </c:numCache>
            </c:numRef>
          </c:xVal>
          <c:yVal>
            <c:numRef>
              <c:f>'ANNEX E'!$I$6:$I$10</c:f>
              <c:numCache>
                <c:formatCode>0</c:formatCode>
                <c:ptCount val="5"/>
                <c:pt idx="0">
                  <c:v>2342</c:v>
                </c:pt>
                <c:pt idx="1">
                  <c:v>2052</c:v>
                </c:pt>
                <c:pt idx="2">
                  <c:v>4210</c:v>
                </c:pt>
                <c:pt idx="3">
                  <c:v>6009</c:v>
                </c:pt>
                <c:pt idx="4">
                  <c:v>86429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57-45E7-86D6-EBB93E0CBA7D}"/>
            </c:ext>
          </c:extLst>
        </c:ser>
        <c:ser>
          <c:idx val="1"/>
          <c:order val="1"/>
          <c:tx>
            <c:strRef>
              <c:f>'ANNEX E'!$Q$10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E'!$F$11:$F$15</c:f>
              <c:numCache>
                <c:formatCode>General</c:formatCode>
                <c:ptCount val="5"/>
                <c:pt idx="0">
                  <c:v>900</c:v>
                </c:pt>
                <c:pt idx="1">
                  <c:v>440</c:v>
                </c:pt>
                <c:pt idx="2">
                  <c:v>450</c:v>
                </c:pt>
                <c:pt idx="3">
                  <c:v>650</c:v>
                </c:pt>
                <c:pt idx="4">
                  <c:v>920</c:v>
                </c:pt>
              </c:numCache>
            </c:numRef>
          </c:xVal>
          <c:yVal>
            <c:numRef>
              <c:f>'ANNEX E'!$I$11:$I$15</c:f>
              <c:numCache>
                <c:formatCode>0</c:formatCode>
                <c:ptCount val="5"/>
                <c:pt idx="0">
                  <c:v>1804</c:v>
                </c:pt>
                <c:pt idx="1">
                  <c:v>94768</c:v>
                </c:pt>
                <c:pt idx="2">
                  <c:v>37010</c:v>
                </c:pt>
                <c:pt idx="3">
                  <c:v>6149</c:v>
                </c:pt>
                <c:pt idx="4">
                  <c:v>1667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257-45E7-86D6-EBB93E0CBA7D}"/>
            </c:ext>
          </c:extLst>
        </c:ser>
        <c:ser>
          <c:idx val="4"/>
          <c:order val="2"/>
          <c:tx>
            <c:strRef>
              <c:f>'ANNEX E'!$Q$16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E'!$F$17:$F$21</c:f>
              <c:numCache>
                <c:formatCode>General</c:formatCode>
                <c:ptCount val="5"/>
                <c:pt idx="0">
                  <c:v>520</c:v>
                </c:pt>
                <c:pt idx="1">
                  <c:v>950</c:v>
                </c:pt>
                <c:pt idx="2">
                  <c:v>900</c:v>
                </c:pt>
                <c:pt idx="3">
                  <c:v>700</c:v>
                </c:pt>
                <c:pt idx="4">
                  <c:v>650</c:v>
                </c:pt>
              </c:numCache>
            </c:numRef>
          </c:xVal>
          <c:yVal>
            <c:numRef>
              <c:f>'ANNEX E'!$I$17:$I$21</c:f>
              <c:numCache>
                <c:formatCode>0</c:formatCode>
                <c:ptCount val="5"/>
                <c:pt idx="0">
                  <c:v>43150</c:v>
                </c:pt>
                <c:pt idx="1">
                  <c:v>1823</c:v>
                </c:pt>
                <c:pt idx="2">
                  <c:v>2004</c:v>
                </c:pt>
                <c:pt idx="3">
                  <c:v>8619</c:v>
                </c:pt>
                <c:pt idx="4">
                  <c:v>5328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257-45E7-86D6-EBB93E0CB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50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 baseline="0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[kPa]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072624697315023"/>
          <c:y val="0.58909413862621574"/>
          <c:w val="0.12493924061732169"/>
          <c:h val="0.25068163874024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ROTTURA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2987302956924"/>
          <c:y val="0.13333426166967643"/>
          <c:w val="0.83148063546848427"/>
          <c:h val="0.7315993964836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'ANNEX E'!$Q$4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E'!$F$6:$F$10</c:f>
              <c:numCache>
                <c:formatCode>General</c:formatCode>
                <c:ptCount val="5"/>
                <c:pt idx="0">
                  <c:v>900</c:v>
                </c:pt>
                <c:pt idx="1">
                  <c:v>900</c:v>
                </c:pt>
                <c:pt idx="2">
                  <c:v>680</c:v>
                </c:pt>
                <c:pt idx="3">
                  <c:v>700</c:v>
                </c:pt>
                <c:pt idx="4">
                  <c:v>520</c:v>
                </c:pt>
              </c:numCache>
            </c:numRef>
          </c:xVal>
          <c:yVal>
            <c:numRef>
              <c:f>'ANNEX E'!$J$6:$J$10</c:f>
              <c:numCache>
                <c:formatCode>0</c:formatCode>
                <c:ptCount val="5"/>
                <c:pt idx="0">
                  <c:v>2998</c:v>
                </c:pt>
                <c:pt idx="1">
                  <c:v>2916</c:v>
                </c:pt>
                <c:pt idx="2">
                  <c:v>6455</c:v>
                </c:pt>
                <c:pt idx="3">
                  <c:v>8023</c:v>
                </c:pt>
                <c:pt idx="4">
                  <c:v>114814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BF-4B1C-8B74-D245A5C7862C}"/>
            </c:ext>
          </c:extLst>
        </c:ser>
        <c:ser>
          <c:idx val="1"/>
          <c:order val="1"/>
          <c:tx>
            <c:strRef>
              <c:f>'ANNEX E'!$Q$10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E'!$F$11:$F$15</c:f>
              <c:numCache>
                <c:formatCode>General</c:formatCode>
                <c:ptCount val="5"/>
                <c:pt idx="0">
                  <c:v>900</c:v>
                </c:pt>
                <c:pt idx="1">
                  <c:v>440</c:v>
                </c:pt>
                <c:pt idx="2">
                  <c:v>450</c:v>
                </c:pt>
                <c:pt idx="3">
                  <c:v>650</c:v>
                </c:pt>
                <c:pt idx="4">
                  <c:v>920</c:v>
                </c:pt>
              </c:numCache>
            </c:numRef>
          </c:xVal>
          <c:yVal>
            <c:numRef>
              <c:f>'ANNEX E'!$J$11:$J$15</c:f>
              <c:numCache>
                <c:formatCode>0</c:formatCode>
                <c:ptCount val="5"/>
                <c:pt idx="0">
                  <c:v>2628</c:v>
                </c:pt>
                <c:pt idx="1">
                  <c:v>115995</c:v>
                </c:pt>
                <c:pt idx="2">
                  <c:v>46952</c:v>
                </c:pt>
                <c:pt idx="3">
                  <c:v>8597</c:v>
                </c:pt>
                <c:pt idx="4">
                  <c:v>2266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7BF-4B1C-8B74-D245A5C7862C}"/>
            </c:ext>
          </c:extLst>
        </c:ser>
        <c:ser>
          <c:idx val="4"/>
          <c:order val="2"/>
          <c:tx>
            <c:strRef>
              <c:f>'ANNEX E'!$Q$16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E'!$F$17:$F$21</c:f>
              <c:numCache>
                <c:formatCode>General</c:formatCode>
                <c:ptCount val="5"/>
                <c:pt idx="0">
                  <c:v>520</c:v>
                </c:pt>
                <c:pt idx="1">
                  <c:v>950</c:v>
                </c:pt>
                <c:pt idx="2">
                  <c:v>900</c:v>
                </c:pt>
                <c:pt idx="3">
                  <c:v>700</c:v>
                </c:pt>
                <c:pt idx="4">
                  <c:v>650</c:v>
                </c:pt>
              </c:numCache>
            </c:numRef>
          </c:xVal>
          <c:yVal>
            <c:numRef>
              <c:f>'ANNEX E'!$J$17:$J$21</c:f>
              <c:numCache>
                <c:formatCode>0</c:formatCode>
                <c:ptCount val="5"/>
                <c:pt idx="0">
                  <c:v>54324</c:v>
                </c:pt>
                <c:pt idx="1">
                  <c:v>2530</c:v>
                </c:pt>
                <c:pt idx="2">
                  <c:v>2718</c:v>
                </c:pt>
                <c:pt idx="3">
                  <c:v>11793</c:v>
                </c:pt>
                <c:pt idx="4">
                  <c:v>7336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7BF-4B1C-8B74-D245A5C78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50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 baseline="0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[kPa]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4743901241763921"/>
          <c:y val="0.59205066603345768"/>
          <c:w val="0.121412200048038"/>
          <c:h val="0.25068163874024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50%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2987302956924"/>
          <c:y val="0.13333426166967643"/>
          <c:w val="0.83148063546848427"/>
          <c:h val="0.73159939648365735"/>
        </c:manualLayout>
      </c:layout>
      <c:scatterChart>
        <c:scatterStyle val="lineMarker"/>
        <c:varyColors val="0"/>
        <c:ser>
          <c:idx val="4"/>
          <c:order val="0"/>
          <c:tx>
            <c:strRef>
              <c:f>'ANNEX E'!$Q$16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E'!$F$17:$F$21</c:f>
              <c:numCache>
                <c:formatCode>General</c:formatCode>
                <c:ptCount val="5"/>
                <c:pt idx="0">
                  <c:v>520</c:v>
                </c:pt>
                <c:pt idx="1">
                  <c:v>950</c:v>
                </c:pt>
                <c:pt idx="2">
                  <c:v>900</c:v>
                </c:pt>
                <c:pt idx="3">
                  <c:v>700</c:v>
                </c:pt>
                <c:pt idx="4">
                  <c:v>650</c:v>
                </c:pt>
              </c:numCache>
            </c:numRef>
          </c:xVal>
          <c:yVal>
            <c:numRef>
              <c:f>'ANNEX E'!$H$17:$H$21</c:f>
              <c:numCache>
                <c:formatCode>0</c:formatCode>
                <c:ptCount val="5"/>
                <c:pt idx="0">
                  <c:v>34539</c:v>
                </c:pt>
                <c:pt idx="1">
                  <c:v>1818</c:v>
                </c:pt>
                <c:pt idx="2">
                  <c:v>2104</c:v>
                </c:pt>
                <c:pt idx="3">
                  <c:v>7224</c:v>
                </c:pt>
                <c:pt idx="4">
                  <c:v>4985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E54-4DFD-9962-75FCABC4C975}"/>
            </c:ext>
          </c:extLst>
        </c:ser>
        <c:ser>
          <c:idx val="2"/>
          <c:order val="1"/>
          <c:tx>
            <c:strRef>
              <c:f>'ANNEX E'!$Q$22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lg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E'!$F$22:$F$28</c:f>
              <c:numCache>
                <c:formatCode>General</c:formatCode>
                <c:ptCount val="7"/>
                <c:pt idx="0">
                  <c:v>800</c:v>
                </c:pt>
                <c:pt idx="1">
                  <c:v>1100</c:v>
                </c:pt>
                <c:pt idx="2">
                  <c:v>1000</c:v>
                </c:pt>
                <c:pt idx="3">
                  <c:v>870</c:v>
                </c:pt>
                <c:pt idx="4">
                  <c:v>620</c:v>
                </c:pt>
                <c:pt idx="5">
                  <c:v>1200</c:v>
                </c:pt>
                <c:pt idx="6">
                  <c:v>900</c:v>
                </c:pt>
              </c:numCache>
            </c:numRef>
          </c:xVal>
          <c:yVal>
            <c:numRef>
              <c:f>'ANNEX E'!$H$22:$H$28</c:f>
              <c:numCache>
                <c:formatCode>0</c:formatCode>
                <c:ptCount val="7"/>
                <c:pt idx="0">
                  <c:v>14070</c:v>
                </c:pt>
                <c:pt idx="1">
                  <c:v>1451</c:v>
                </c:pt>
                <c:pt idx="2">
                  <c:v>3226</c:v>
                </c:pt>
                <c:pt idx="3">
                  <c:v>7060</c:v>
                </c:pt>
                <c:pt idx="4">
                  <c:v>58209</c:v>
                </c:pt>
                <c:pt idx="5">
                  <c:v>1307</c:v>
                </c:pt>
                <c:pt idx="6">
                  <c:v>11929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E54-4DFD-9962-75FCABC4C975}"/>
            </c:ext>
          </c:extLst>
        </c:ser>
        <c:ser>
          <c:idx val="3"/>
          <c:order val="2"/>
          <c:tx>
            <c:strRef>
              <c:f>'ANNEX E'!$Q$28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E'!$F$27:$F$31</c:f>
              <c:numCache>
                <c:formatCode>General</c:formatCode>
                <c:ptCount val="5"/>
                <c:pt idx="0">
                  <c:v>1200</c:v>
                </c:pt>
                <c:pt idx="1">
                  <c:v>900</c:v>
                </c:pt>
                <c:pt idx="2">
                  <c:v>700</c:v>
                </c:pt>
                <c:pt idx="3">
                  <c:v>1000</c:v>
                </c:pt>
                <c:pt idx="4">
                  <c:v>850</c:v>
                </c:pt>
              </c:numCache>
            </c:numRef>
          </c:xVal>
          <c:yVal>
            <c:numRef>
              <c:f>'ANNEX E'!$H$27:$H$31</c:f>
              <c:numCache>
                <c:formatCode>0</c:formatCode>
                <c:ptCount val="5"/>
                <c:pt idx="0">
                  <c:v>1307</c:v>
                </c:pt>
                <c:pt idx="1">
                  <c:v>11929</c:v>
                </c:pt>
                <c:pt idx="2">
                  <c:v>33112</c:v>
                </c:pt>
                <c:pt idx="3">
                  <c:v>5452</c:v>
                </c:pt>
                <c:pt idx="4">
                  <c:v>28509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E54-4DFD-9962-75FCABC4C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50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 baseline="0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[kPa]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5164372992764022"/>
          <c:y val="0.53321167754723153"/>
          <c:w val="0.1232975772297976"/>
          <c:h val="0.25068163874024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ANNEX 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'ANNEX F'!$Y$30</c:f>
              <c:strCache>
                <c:ptCount val="1"/>
                <c:pt idx="0">
                  <c:v>NER, 0.05‰</c:v>
                </c:pt>
              </c:strCache>
            </c:strRef>
          </c:tx>
          <c:spPr>
            <a:pattFill prst="dkUp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'ANNEX F'!$X$32:$X$36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'ANNEX F'!$Y$32:$Y$36</c:f>
              <c:numCache>
                <c:formatCode>0</c:formatCode>
                <c:ptCount val="5"/>
                <c:pt idx="0">
                  <c:v>76895.155948378393</c:v>
                </c:pt>
                <c:pt idx="1">
                  <c:v>85838.150801918819</c:v>
                </c:pt>
                <c:pt idx="2">
                  <c:v>72430.570794710133</c:v>
                </c:pt>
                <c:pt idx="3">
                  <c:v>79787.174217540974</c:v>
                </c:pt>
                <c:pt idx="4">
                  <c:v>77757.430755921581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50-4B30-83FD-96518B62EFA2}"/>
            </c:ext>
          </c:extLst>
        </c:ser>
        <c:ser>
          <c:idx val="1"/>
          <c:order val="1"/>
          <c:tx>
            <c:strRef>
              <c:f>'ANNEX F'!$Z$30</c:f>
              <c:strCache>
                <c:ptCount val="1"/>
                <c:pt idx="0">
                  <c:v>NER, 0.1‰</c:v>
                </c:pt>
              </c:strCache>
            </c:strRef>
          </c:tx>
          <c:spPr>
            <a:pattFill prst="dkDnDiag">
              <a:fgClr>
                <a:schemeClr val="accent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accent2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'ANNEX F'!$X$32:$X$36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'ANNEX F'!$Z$32:$Z$36</c:f>
              <c:numCache>
                <c:formatCode>0</c:formatCode>
                <c:ptCount val="5"/>
                <c:pt idx="0">
                  <c:v>6120.6508023890901</c:v>
                </c:pt>
                <c:pt idx="1">
                  <c:v>6579.3887678498686</c:v>
                </c:pt>
                <c:pt idx="2">
                  <c:v>5322.7978742613295</c:v>
                </c:pt>
                <c:pt idx="3">
                  <c:v>8568.5103155248871</c:v>
                </c:pt>
                <c:pt idx="4">
                  <c:v>5453.283807763376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50-4B30-83FD-96518B62E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99863872"/>
        <c:axId val="1126413424"/>
      </c:barChart>
      <c:lineChart>
        <c:grouping val="standard"/>
        <c:varyColors val="0"/>
        <c:ser>
          <c:idx val="2"/>
          <c:order val="2"/>
          <c:tx>
            <c:strRef>
              <c:f>'ANNEX F'!$AA$30</c:f>
              <c:strCache>
                <c:ptCount val="1"/>
                <c:pt idx="0">
                  <c:v>nε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'ANNEX F'!$X$32:$X$36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'ANNEX F'!$AA$32:$AA$36</c:f>
              <c:numCache>
                <c:formatCode>0.000</c:formatCode>
                <c:ptCount val="5"/>
                <c:pt idx="0">
                  <c:v>3.6511357512619358</c:v>
                </c:pt>
                <c:pt idx="1">
                  <c:v>3.70559352926304</c:v>
                </c:pt>
                <c:pt idx="2">
                  <c:v>3.7663420565080976</c:v>
                </c:pt>
                <c:pt idx="3">
                  <c:v>3.406172580389017</c:v>
                </c:pt>
                <c:pt idx="4">
                  <c:v>3.8337834051493038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50-4B30-83FD-96518B62E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592816"/>
        <c:axId val="1231592336"/>
      </c:lineChart>
      <c:catAx>
        <c:axId val="99986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26413424"/>
        <c:crosses val="autoZero"/>
        <c:auto val="1"/>
        <c:lblAlgn val="ctr"/>
        <c:lblOffset val="100"/>
        <c:noMultiLvlLbl val="0"/>
      </c:catAx>
      <c:valAx>
        <c:axId val="112641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Nf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99863872"/>
        <c:crosses val="autoZero"/>
        <c:crossBetween val="between"/>
      </c:valAx>
      <c:valAx>
        <c:axId val="123159233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el-GR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</a:t>
                </a:r>
                <a:r>
                  <a:rPr lang="it-IT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[-]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31592816"/>
        <c:crosses val="max"/>
        <c:crossBetween val="between"/>
      </c:valAx>
      <c:catAx>
        <c:axId val="12315928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315923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5478243852103555E-2"/>
          <c:y val="0.16484183601953464"/>
          <c:w val="0.83148063546848427"/>
          <c:h val="0.73159939648365735"/>
        </c:manualLayout>
      </c:layout>
      <c:scatterChart>
        <c:scatterStyle val="lineMarker"/>
        <c:varyColors val="0"/>
        <c:ser>
          <c:idx val="4"/>
          <c:order val="0"/>
          <c:tx>
            <c:strRef>
              <c:f>'ANNEX E'!$Q$16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E'!$F$17:$F$21</c:f>
              <c:numCache>
                <c:formatCode>General</c:formatCode>
                <c:ptCount val="5"/>
                <c:pt idx="0">
                  <c:v>520</c:v>
                </c:pt>
                <c:pt idx="1">
                  <c:v>950</c:v>
                </c:pt>
                <c:pt idx="2">
                  <c:v>900</c:v>
                </c:pt>
                <c:pt idx="3">
                  <c:v>700</c:v>
                </c:pt>
                <c:pt idx="4">
                  <c:v>650</c:v>
                </c:pt>
              </c:numCache>
            </c:numRef>
          </c:xVal>
          <c:yVal>
            <c:numRef>
              <c:f>'ANNEX E'!$I$17:$I$21</c:f>
              <c:numCache>
                <c:formatCode>0</c:formatCode>
                <c:ptCount val="5"/>
                <c:pt idx="0">
                  <c:v>43150</c:v>
                </c:pt>
                <c:pt idx="1">
                  <c:v>1823</c:v>
                </c:pt>
                <c:pt idx="2">
                  <c:v>2004</c:v>
                </c:pt>
                <c:pt idx="3">
                  <c:v>8619</c:v>
                </c:pt>
                <c:pt idx="4">
                  <c:v>5328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7C5-4E6A-9A8C-1FA168BD24EE}"/>
            </c:ext>
          </c:extLst>
        </c:ser>
        <c:ser>
          <c:idx val="2"/>
          <c:order val="1"/>
          <c:tx>
            <c:strRef>
              <c:f>'ANNEX E'!$Q$22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E'!$F$22:$F$28</c:f>
              <c:numCache>
                <c:formatCode>General</c:formatCode>
                <c:ptCount val="7"/>
                <c:pt idx="0">
                  <c:v>800</c:v>
                </c:pt>
                <c:pt idx="1">
                  <c:v>1100</c:v>
                </c:pt>
                <c:pt idx="2">
                  <c:v>1000</c:v>
                </c:pt>
                <c:pt idx="3">
                  <c:v>870</c:v>
                </c:pt>
                <c:pt idx="4">
                  <c:v>620</c:v>
                </c:pt>
                <c:pt idx="5">
                  <c:v>1200</c:v>
                </c:pt>
                <c:pt idx="6">
                  <c:v>900</c:v>
                </c:pt>
              </c:numCache>
            </c:numRef>
          </c:xVal>
          <c:yVal>
            <c:numRef>
              <c:f>'ANNEX E'!$I$22:$I$28</c:f>
              <c:numCache>
                <c:formatCode>0</c:formatCode>
                <c:ptCount val="7"/>
                <c:pt idx="0">
                  <c:v>13909</c:v>
                </c:pt>
                <c:pt idx="1">
                  <c:v>1277</c:v>
                </c:pt>
                <c:pt idx="2">
                  <c:v>3121</c:v>
                </c:pt>
                <c:pt idx="3">
                  <c:v>6742</c:v>
                </c:pt>
                <c:pt idx="4">
                  <c:v>56017</c:v>
                </c:pt>
                <c:pt idx="5">
                  <c:v>1185</c:v>
                </c:pt>
                <c:pt idx="6">
                  <c:v>11305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7C5-4E6A-9A8C-1FA168BD24EE}"/>
            </c:ext>
          </c:extLst>
        </c:ser>
        <c:ser>
          <c:idx val="3"/>
          <c:order val="2"/>
          <c:tx>
            <c:strRef>
              <c:f>'ANNEX E'!$Q$28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E'!$F$27:$F$31</c:f>
              <c:numCache>
                <c:formatCode>General</c:formatCode>
                <c:ptCount val="5"/>
                <c:pt idx="0">
                  <c:v>1200</c:v>
                </c:pt>
                <c:pt idx="1">
                  <c:v>900</c:v>
                </c:pt>
                <c:pt idx="2">
                  <c:v>700</c:v>
                </c:pt>
                <c:pt idx="3">
                  <c:v>1000</c:v>
                </c:pt>
                <c:pt idx="4">
                  <c:v>850</c:v>
                </c:pt>
              </c:numCache>
            </c:numRef>
          </c:xVal>
          <c:yVal>
            <c:numRef>
              <c:f>'ANNEX E'!$I$27:$I$31</c:f>
              <c:numCache>
                <c:formatCode>0</c:formatCode>
                <c:ptCount val="5"/>
                <c:pt idx="0">
                  <c:v>1185</c:v>
                </c:pt>
                <c:pt idx="1">
                  <c:v>11305</c:v>
                </c:pt>
                <c:pt idx="2">
                  <c:v>32358</c:v>
                </c:pt>
                <c:pt idx="3">
                  <c:v>4947</c:v>
                </c:pt>
                <c:pt idx="4">
                  <c:v>25901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7C5-4E6A-9A8C-1FA168BD2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50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 baseline="0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[kPa]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072624697315023"/>
          <c:y val="0.58909413862621574"/>
          <c:w val="0.12493924061732169"/>
          <c:h val="0.25068163874024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ROTTURA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2987302956924"/>
          <c:y val="0.13333426166967643"/>
          <c:w val="0.83148063546848427"/>
          <c:h val="0.73159939648365735"/>
        </c:manualLayout>
      </c:layout>
      <c:scatterChart>
        <c:scatterStyle val="lineMarker"/>
        <c:varyColors val="0"/>
        <c:ser>
          <c:idx val="4"/>
          <c:order val="0"/>
          <c:tx>
            <c:strRef>
              <c:f>'ANNEX E'!$Q$16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E'!$F$17:$F$21</c:f>
              <c:numCache>
                <c:formatCode>General</c:formatCode>
                <c:ptCount val="5"/>
                <c:pt idx="0">
                  <c:v>520</c:v>
                </c:pt>
                <c:pt idx="1">
                  <c:v>950</c:v>
                </c:pt>
                <c:pt idx="2">
                  <c:v>900</c:v>
                </c:pt>
                <c:pt idx="3">
                  <c:v>700</c:v>
                </c:pt>
                <c:pt idx="4">
                  <c:v>650</c:v>
                </c:pt>
              </c:numCache>
            </c:numRef>
          </c:xVal>
          <c:yVal>
            <c:numRef>
              <c:f>'ANNEX E'!$J$17:$J$21</c:f>
              <c:numCache>
                <c:formatCode>0</c:formatCode>
                <c:ptCount val="5"/>
                <c:pt idx="0">
                  <c:v>54324</c:v>
                </c:pt>
                <c:pt idx="1">
                  <c:v>2530</c:v>
                </c:pt>
                <c:pt idx="2">
                  <c:v>2718</c:v>
                </c:pt>
                <c:pt idx="3">
                  <c:v>11793</c:v>
                </c:pt>
                <c:pt idx="4">
                  <c:v>7336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836-4A4C-87FD-68609CC3B3F5}"/>
            </c:ext>
          </c:extLst>
        </c:ser>
        <c:ser>
          <c:idx val="2"/>
          <c:order val="1"/>
          <c:tx>
            <c:strRef>
              <c:f>'ANNEX E'!$Q$22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E'!$F$22:$F$28</c:f>
              <c:numCache>
                <c:formatCode>General</c:formatCode>
                <c:ptCount val="7"/>
                <c:pt idx="0">
                  <c:v>800</c:v>
                </c:pt>
                <c:pt idx="1">
                  <c:v>1100</c:v>
                </c:pt>
                <c:pt idx="2">
                  <c:v>1000</c:v>
                </c:pt>
                <c:pt idx="3">
                  <c:v>870</c:v>
                </c:pt>
                <c:pt idx="4">
                  <c:v>620</c:v>
                </c:pt>
                <c:pt idx="5">
                  <c:v>1200</c:v>
                </c:pt>
                <c:pt idx="6">
                  <c:v>900</c:v>
                </c:pt>
              </c:numCache>
            </c:numRef>
          </c:xVal>
          <c:yVal>
            <c:numRef>
              <c:f>'ANNEX E'!$J$22:$J$28</c:f>
              <c:numCache>
                <c:formatCode>0</c:formatCode>
                <c:ptCount val="7"/>
                <c:pt idx="0">
                  <c:v>18548</c:v>
                </c:pt>
                <c:pt idx="1">
                  <c:v>1701</c:v>
                </c:pt>
                <c:pt idx="2">
                  <c:v>4409</c:v>
                </c:pt>
                <c:pt idx="3">
                  <c:v>9475</c:v>
                </c:pt>
                <c:pt idx="4">
                  <c:v>77922</c:v>
                </c:pt>
                <c:pt idx="5">
                  <c:v>1645</c:v>
                </c:pt>
                <c:pt idx="6">
                  <c:v>15134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836-4A4C-87FD-68609CC3B3F5}"/>
            </c:ext>
          </c:extLst>
        </c:ser>
        <c:ser>
          <c:idx val="3"/>
          <c:order val="2"/>
          <c:tx>
            <c:strRef>
              <c:f>'ANNEX E'!$Q$28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E'!$F$27:$F$31</c:f>
              <c:numCache>
                <c:formatCode>General</c:formatCode>
                <c:ptCount val="5"/>
                <c:pt idx="0">
                  <c:v>1200</c:v>
                </c:pt>
                <c:pt idx="1">
                  <c:v>900</c:v>
                </c:pt>
                <c:pt idx="2">
                  <c:v>700</c:v>
                </c:pt>
                <c:pt idx="3">
                  <c:v>1000</c:v>
                </c:pt>
                <c:pt idx="4">
                  <c:v>850</c:v>
                </c:pt>
              </c:numCache>
            </c:numRef>
          </c:xVal>
          <c:yVal>
            <c:numRef>
              <c:f>'ANNEX E'!$J$27:$J$31</c:f>
              <c:numCache>
                <c:formatCode>0</c:formatCode>
                <c:ptCount val="5"/>
                <c:pt idx="0">
                  <c:v>1645</c:v>
                </c:pt>
                <c:pt idx="1">
                  <c:v>15134</c:v>
                </c:pt>
                <c:pt idx="2">
                  <c:v>41685</c:v>
                </c:pt>
                <c:pt idx="3">
                  <c:v>6917</c:v>
                </c:pt>
                <c:pt idx="4">
                  <c:v>33239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836-4A4C-87FD-68609CC3B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50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 baseline="0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[kPa]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4743901241763921"/>
          <c:y val="0.59205066603345768"/>
          <c:w val="0.121412200048038"/>
          <c:h val="0.25068163874024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757753046232349"/>
          <c:y val="0.14768488497761309"/>
          <c:w val="0.83148063546848427"/>
          <c:h val="0.7315993964836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'ANNEX E'!$Q$4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ash"/>
              </a:ln>
              <a:effectLst/>
            </c:spPr>
            <c:trendlineType val="power"/>
            <c:backward val="100"/>
            <c:dispRSqr val="0"/>
            <c:dispEq val="0"/>
          </c:trendline>
          <c:xVal>
            <c:numRef>
              <c:f>'ANNEX E'!$G$6:$G$10</c:f>
              <c:numCache>
                <c:formatCode>0.0</c:formatCode>
                <c:ptCount val="5"/>
                <c:pt idx="0">
                  <c:v>270.3565142468031</c:v>
                </c:pt>
                <c:pt idx="1">
                  <c:v>218.9301355424972</c:v>
                </c:pt>
                <c:pt idx="2">
                  <c:v>181.18235200192152</c:v>
                </c:pt>
                <c:pt idx="3">
                  <c:v>170.17507265261514</c:v>
                </c:pt>
                <c:pt idx="4">
                  <c:v>89.072355262648344</c:v>
                </c:pt>
              </c:numCache>
            </c:numRef>
          </c:xVal>
          <c:yVal>
            <c:numRef>
              <c:f>'ANNEX E'!$I$6:$I$10</c:f>
              <c:numCache>
                <c:formatCode>0</c:formatCode>
                <c:ptCount val="5"/>
                <c:pt idx="0">
                  <c:v>2342</c:v>
                </c:pt>
                <c:pt idx="1">
                  <c:v>2052</c:v>
                </c:pt>
                <c:pt idx="2">
                  <c:v>4210</c:v>
                </c:pt>
                <c:pt idx="3">
                  <c:v>6009</c:v>
                </c:pt>
                <c:pt idx="4">
                  <c:v>86429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49-433B-B5BF-BE363932648D}"/>
            </c:ext>
          </c:extLst>
        </c:ser>
        <c:ser>
          <c:idx val="1"/>
          <c:order val="1"/>
          <c:tx>
            <c:strRef>
              <c:f>'ANNEX E'!$Q$10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backward val="100"/>
            <c:dispRSqr val="0"/>
            <c:dispEq val="0"/>
          </c:trendline>
          <c:xVal>
            <c:numRef>
              <c:f>'ANNEX E'!$G$11:$G$15</c:f>
              <c:numCache>
                <c:formatCode>0.0</c:formatCode>
                <c:ptCount val="5"/>
                <c:pt idx="0">
                  <c:v>274.88475283729576</c:v>
                </c:pt>
                <c:pt idx="1">
                  <c:v>105.02228085395753</c:v>
                </c:pt>
                <c:pt idx="2">
                  <c:v>111.68059274613702</c:v>
                </c:pt>
                <c:pt idx="3">
                  <c:v>213.92719279282133</c:v>
                </c:pt>
                <c:pt idx="4">
                  <c:v>273.66221398865548</c:v>
                </c:pt>
              </c:numCache>
            </c:numRef>
          </c:xVal>
          <c:yVal>
            <c:numRef>
              <c:f>'ANNEX E'!$I$11:$I$15</c:f>
              <c:numCache>
                <c:formatCode>0</c:formatCode>
                <c:ptCount val="5"/>
                <c:pt idx="0">
                  <c:v>1804</c:v>
                </c:pt>
                <c:pt idx="1">
                  <c:v>94768</c:v>
                </c:pt>
                <c:pt idx="2">
                  <c:v>37010</c:v>
                </c:pt>
                <c:pt idx="3">
                  <c:v>6149</c:v>
                </c:pt>
                <c:pt idx="4">
                  <c:v>1667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A49-433B-B5BF-BE363932648D}"/>
            </c:ext>
          </c:extLst>
        </c:ser>
        <c:ser>
          <c:idx val="4"/>
          <c:order val="2"/>
          <c:tx>
            <c:strRef>
              <c:f>'ANNEX E'!$Q$16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dashDot"/>
              </a:ln>
              <a:effectLst/>
            </c:spPr>
            <c:trendlineType val="power"/>
            <c:backward val="100"/>
            <c:dispRSqr val="0"/>
            <c:dispEq val="0"/>
          </c:trendline>
          <c:xVal>
            <c:numRef>
              <c:f>'ANNEX E'!$G$17:$G$21</c:f>
              <c:numCache>
                <c:formatCode>0.0</c:formatCode>
                <c:ptCount val="5"/>
                <c:pt idx="0">
                  <c:v>99.399084676108416</c:v>
                </c:pt>
                <c:pt idx="1">
                  <c:v>227.52962444998312</c:v>
                </c:pt>
                <c:pt idx="2">
                  <c:v>236.74347280731513</c:v>
                </c:pt>
                <c:pt idx="3">
                  <c:v>145.09705352687868</c:v>
                </c:pt>
                <c:pt idx="4">
                  <c:v>216.93955140937106</c:v>
                </c:pt>
              </c:numCache>
            </c:numRef>
          </c:xVal>
          <c:yVal>
            <c:numRef>
              <c:f>'ANNEX E'!$I$17:$I$21</c:f>
              <c:numCache>
                <c:formatCode>0</c:formatCode>
                <c:ptCount val="5"/>
                <c:pt idx="0">
                  <c:v>43150</c:v>
                </c:pt>
                <c:pt idx="1">
                  <c:v>1823</c:v>
                </c:pt>
                <c:pt idx="2">
                  <c:v>2004</c:v>
                </c:pt>
                <c:pt idx="3">
                  <c:v>8619</c:v>
                </c:pt>
                <c:pt idx="4">
                  <c:v>5328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A49-433B-B5BF-BE363932648D}"/>
            </c:ext>
          </c:extLst>
        </c:ser>
        <c:ser>
          <c:idx val="2"/>
          <c:order val="3"/>
          <c:tx>
            <c:strRef>
              <c:f>'ANNEX E'!$Q$22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lgDash"/>
              </a:ln>
              <a:effectLst/>
            </c:spPr>
            <c:trendlineType val="power"/>
            <c:backward val="100"/>
            <c:dispRSqr val="0"/>
            <c:dispEq val="0"/>
          </c:trendline>
          <c:xVal>
            <c:numRef>
              <c:f>'ANNEX E'!$G$22:$G$28</c:f>
              <c:numCache>
                <c:formatCode>0.0</c:formatCode>
                <c:ptCount val="7"/>
                <c:pt idx="0">
                  <c:v>127.23317695944992</c:v>
                </c:pt>
                <c:pt idx="1">
                  <c:v>356.48445204566923</c:v>
                </c:pt>
                <c:pt idx="2">
                  <c:v>243.95159537733326</c:v>
                </c:pt>
                <c:pt idx="3">
                  <c:v>149.6560947021207</c:v>
                </c:pt>
                <c:pt idx="4">
                  <c:v>83.956277262313918</c:v>
                </c:pt>
                <c:pt idx="5">
                  <c:v>301.29716656169524</c:v>
                </c:pt>
                <c:pt idx="6">
                  <c:v>120.24127946465353</c:v>
                </c:pt>
              </c:numCache>
            </c:numRef>
          </c:xVal>
          <c:yVal>
            <c:numRef>
              <c:f>'ANNEX E'!$I$22:$I$28</c:f>
              <c:numCache>
                <c:formatCode>0</c:formatCode>
                <c:ptCount val="7"/>
                <c:pt idx="0">
                  <c:v>13909</c:v>
                </c:pt>
                <c:pt idx="1">
                  <c:v>1277</c:v>
                </c:pt>
                <c:pt idx="2">
                  <c:v>3121</c:v>
                </c:pt>
                <c:pt idx="3">
                  <c:v>6742</c:v>
                </c:pt>
                <c:pt idx="4">
                  <c:v>56017</c:v>
                </c:pt>
                <c:pt idx="5">
                  <c:v>1185</c:v>
                </c:pt>
                <c:pt idx="6">
                  <c:v>11305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A49-433B-B5BF-BE363932648D}"/>
            </c:ext>
          </c:extLst>
        </c:ser>
        <c:ser>
          <c:idx val="3"/>
          <c:order val="4"/>
          <c:tx>
            <c:strRef>
              <c:f>'ANNEX E'!$Q$28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backward val="100"/>
            <c:dispRSqr val="0"/>
            <c:dispEq val="0"/>
          </c:trendline>
          <c:xVal>
            <c:numRef>
              <c:f>'ANNEX E'!$G$27:$G$31</c:f>
              <c:numCache>
                <c:formatCode>0.0</c:formatCode>
                <c:ptCount val="5"/>
                <c:pt idx="0">
                  <c:v>301.29716656169524</c:v>
                </c:pt>
                <c:pt idx="1">
                  <c:v>120.24127946465353</c:v>
                </c:pt>
                <c:pt idx="2">
                  <c:v>98.727658266813009</c:v>
                </c:pt>
                <c:pt idx="3">
                  <c:v>191.08899818587605</c:v>
                </c:pt>
                <c:pt idx="4">
                  <c:v>102.01664292322781</c:v>
                </c:pt>
              </c:numCache>
            </c:numRef>
          </c:xVal>
          <c:yVal>
            <c:numRef>
              <c:f>'ANNEX E'!$I$27:$I$31</c:f>
              <c:numCache>
                <c:formatCode>0</c:formatCode>
                <c:ptCount val="5"/>
                <c:pt idx="0">
                  <c:v>1185</c:v>
                </c:pt>
                <c:pt idx="1">
                  <c:v>11305</c:v>
                </c:pt>
                <c:pt idx="2">
                  <c:v>32358</c:v>
                </c:pt>
                <c:pt idx="3">
                  <c:v>4947</c:v>
                </c:pt>
                <c:pt idx="4">
                  <c:v>25901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A49-433B-B5BF-BE363932648D}"/>
            </c:ext>
          </c:extLst>
        </c:ser>
        <c:ser>
          <c:idx val="5"/>
          <c:order val="5"/>
          <c:spPr>
            <a:ln w="1270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('ANNEX E'!$I$65,'ANNEX E'!$I$65)</c:f>
              <c:numCache>
                <c:formatCode>General</c:formatCode>
                <c:ptCount val="2"/>
                <c:pt idx="0">
                  <c:v>360</c:v>
                </c:pt>
                <c:pt idx="1">
                  <c:v>360</c:v>
                </c:pt>
              </c:numCache>
            </c:numRef>
          </c:xVal>
          <c:yVal>
            <c:numRef>
              <c:f>('ANNEX E'!$H$65,'ANNEX E'!$H$66)</c:f>
              <c:numCache>
                <c:formatCode>General</c:formatCode>
                <c:ptCount val="2"/>
                <c:pt idx="0">
                  <c:v>100</c:v>
                </c:pt>
                <c:pt idx="1">
                  <c:v>1000000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FF7-4A8C-BEEF-4207F73B2E1F}"/>
            </c:ext>
          </c:extLst>
        </c:ser>
        <c:ser>
          <c:idx val="6"/>
          <c:order val="6"/>
          <c:spPr>
            <a:ln w="1270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('ANNEX E'!$I$66,'ANNEX E'!$I$66)</c:f>
              <c:numCache>
                <c:formatCode>General</c:formatCode>
                <c:ptCount val="2"/>
                <c:pt idx="0">
                  <c:v>80</c:v>
                </c:pt>
                <c:pt idx="1">
                  <c:v>80</c:v>
                </c:pt>
              </c:numCache>
            </c:numRef>
          </c:xVal>
          <c:yVal>
            <c:numRef>
              <c:f>('ANNEX E'!$H$65,'ANNEX E'!$H$66)</c:f>
              <c:numCache>
                <c:formatCode>General</c:formatCode>
                <c:ptCount val="2"/>
                <c:pt idx="0">
                  <c:v>100</c:v>
                </c:pt>
                <c:pt idx="1">
                  <c:v>1000000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FF7-4A8C-BEEF-4207F73B2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40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layout>
            <c:manualLayout>
              <c:xMode val="edge"/>
              <c:yMode val="edge"/>
              <c:x val="0.46351031540051912"/>
              <c:y val="0.897454068241469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ax val="10000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layout>
            <c:manualLayout>
              <c:xMode val="edge"/>
              <c:yMode val="edge"/>
              <c:x val="5.5865921787709499E-3"/>
              <c:y val="0.481002972054963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18575306720380882"/>
          <c:y val="0.94919273814808758"/>
          <c:w val="0.59305766946729421"/>
          <c:h val="4.14214975705356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50%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'ANNEX D'!$N$6</c:f>
              <c:strCache>
                <c:ptCount val="1"/>
                <c:pt idx="0">
                  <c:v>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D'!$F$5:$F$10</c:f>
              <c:numCache>
                <c:formatCode>0.0</c:formatCode>
                <c:ptCount val="6"/>
                <c:pt idx="0">
                  <c:v>180.22800000000001</c:v>
                </c:pt>
                <c:pt idx="1">
                  <c:v>180.49100000000001</c:v>
                </c:pt>
                <c:pt idx="2">
                  <c:v>160.18100000000001</c:v>
                </c:pt>
                <c:pt idx="3">
                  <c:v>159.82900000000001</c:v>
                </c:pt>
                <c:pt idx="4">
                  <c:v>248.51599999999999</c:v>
                </c:pt>
                <c:pt idx="5">
                  <c:v>159.93100000000001</c:v>
                </c:pt>
              </c:numCache>
            </c:numRef>
          </c:xVal>
          <c:yVal>
            <c:numRef>
              <c:f>'ANNEX D'!$G$5:$G$10</c:f>
              <c:numCache>
                <c:formatCode>0</c:formatCode>
                <c:ptCount val="6"/>
                <c:pt idx="0">
                  <c:v>92612</c:v>
                </c:pt>
                <c:pt idx="1">
                  <c:v>239884</c:v>
                </c:pt>
                <c:pt idx="2">
                  <c:v>774264</c:v>
                </c:pt>
                <c:pt idx="3">
                  <c:v>624534</c:v>
                </c:pt>
                <c:pt idx="4">
                  <c:v>25216</c:v>
                </c:pt>
                <c:pt idx="5">
                  <c:v>249907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1F-4ADD-AF63-C286CF7F34A8}"/>
            </c:ext>
          </c:extLst>
        </c:ser>
        <c:ser>
          <c:idx val="1"/>
          <c:order val="1"/>
          <c:tx>
            <c:strRef>
              <c:f>'ANNEX D'!$N$13</c:f>
              <c:strCache>
                <c:ptCount val="1"/>
                <c:pt idx="0">
                  <c:v>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D'!$F$11:$F$17</c:f>
              <c:numCache>
                <c:formatCode>0.0</c:formatCode>
                <c:ptCount val="7"/>
                <c:pt idx="0">
                  <c:v>178.98</c:v>
                </c:pt>
                <c:pt idx="1">
                  <c:v>179.983</c:v>
                </c:pt>
                <c:pt idx="2">
                  <c:v>197.93799999999999</c:v>
                </c:pt>
                <c:pt idx="3">
                  <c:v>260.56</c:v>
                </c:pt>
                <c:pt idx="4">
                  <c:v>279.63200000000001</c:v>
                </c:pt>
                <c:pt idx="5">
                  <c:v>340.91300000000001</c:v>
                </c:pt>
                <c:pt idx="6">
                  <c:v>320.86799999999999</c:v>
                </c:pt>
              </c:numCache>
            </c:numRef>
          </c:xVal>
          <c:yVal>
            <c:numRef>
              <c:f>'ANNEX D'!$G$11:$G$17</c:f>
              <c:numCache>
                <c:formatCode>0</c:formatCode>
                <c:ptCount val="7"/>
                <c:pt idx="0">
                  <c:v>1196129</c:v>
                </c:pt>
                <c:pt idx="1">
                  <c:v>1196129</c:v>
                </c:pt>
                <c:pt idx="2">
                  <c:v>2282093</c:v>
                </c:pt>
                <c:pt idx="3">
                  <c:v>400150</c:v>
                </c:pt>
                <c:pt idx="4">
                  <c:v>78223</c:v>
                </c:pt>
                <c:pt idx="5">
                  <c:v>18198</c:v>
                </c:pt>
                <c:pt idx="6">
                  <c:v>230262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F1F-4ADD-AF63-C286CF7F34A8}"/>
            </c:ext>
          </c:extLst>
        </c:ser>
        <c:ser>
          <c:idx val="2"/>
          <c:order val="2"/>
          <c:tx>
            <c:strRef>
              <c:f>'ANNEX D'!$N$19</c:f>
              <c:strCache>
                <c:ptCount val="1"/>
                <c:pt idx="0">
                  <c:v>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D'!$F$18:$F$23</c:f>
              <c:numCache>
                <c:formatCode>0.0</c:formatCode>
                <c:ptCount val="6"/>
                <c:pt idx="0">
                  <c:v>180.49</c:v>
                </c:pt>
                <c:pt idx="1">
                  <c:v>200.608</c:v>
                </c:pt>
                <c:pt idx="2">
                  <c:v>149.072</c:v>
                </c:pt>
                <c:pt idx="3">
                  <c:v>180.03399999999999</c:v>
                </c:pt>
                <c:pt idx="4">
                  <c:v>159.995</c:v>
                </c:pt>
                <c:pt idx="5">
                  <c:v>260.14400000000001</c:v>
                </c:pt>
              </c:numCache>
            </c:numRef>
          </c:xVal>
          <c:yVal>
            <c:numRef>
              <c:f>'ANNEX D'!$G$18:$G$23</c:f>
              <c:numCache>
                <c:formatCode>0</c:formatCode>
                <c:ptCount val="6"/>
                <c:pt idx="0">
                  <c:v>73565</c:v>
                </c:pt>
                <c:pt idx="1">
                  <c:v>348516</c:v>
                </c:pt>
                <c:pt idx="2">
                  <c:v>425490</c:v>
                </c:pt>
                <c:pt idx="3">
                  <c:v>473757</c:v>
                </c:pt>
                <c:pt idx="4">
                  <c:v>1385692</c:v>
                </c:pt>
                <c:pt idx="5">
                  <c:v>66070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F1F-4ADD-AF63-C286CF7F34A8}"/>
            </c:ext>
          </c:extLst>
        </c:ser>
        <c:ser>
          <c:idx val="3"/>
          <c:order val="3"/>
          <c:tx>
            <c:strRef>
              <c:f>'ANNEX D'!$N$26</c:f>
              <c:strCache>
                <c:ptCount val="1"/>
                <c:pt idx="0">
                  <c:v>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D'!$F$25:$F$31</c:f>
              <c:numCache>
                <c:formatCode>0.0</c:formatCode>
                <c:ptCount val="7"/>
                <c:pt idx="0">
                  <c:v>179.72900000000001</c:v>
                </c:pt>
                <c:pt idx="1">
                  <c:v>179.09399999999999</c:v>
                </c:pt>
                <c:pt idx="2">
                  <c:v>200.19399999999999</c:v>
                </c:pt>
                <c:pt idx="3">
                  <c:v>160.18</c:v>
                </c:pt>
                <c:pt idx="4">
                  <c:v>209.398</c:v>
                </c:pt>
                <c:pt idx="5">
                  <c:v>225.18700000000001</c:v>
                </c:pt>
                <c:pt idx="6">
                  <c:v>199.089</c:v>
                </c:pt>
              </c:numCache>
            </c:numRef>
          </c:xVal>
          <c:yVal>
            <c:numRef>
              <c:f>'ANNEX D'!$G$25:$G$31</c:f>
              <c:numCache>
                <c:formatCode>0</c:formatCode>
                <c:ptCount val="7"/>
                <c:pt idx="0">
                  <c:v>1250899</c:v>
                </c:pt>
                <c:pt idx="1">
                  <c:v>81910</c:v>
                </c:pt>
                <c:pt idx="2">
                  <c:v>189574</c:v>
                </c:pt>
                <c:pt idx="3">
                  <c:v>1072891</c:v>
                </c:pt>
                <c:pt idx="4">
                  <c:v>96977</c:v>
                </c:pt>
                <c:pt idx="5">
                  <c:v>99236</c:v>
                </c:pt>
                <c:pt idx="6">
                  <c:v>154486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F1F-4ADD-AF63-C286CF7F34A8}"/>
            </c:ext>
          </c:extLst>
        </c:ser>
        <c:ser>
          <c:idx val="4"/>
          <c:order val="4"/>
          <c:tx>
            <c:strRef>
              <c:f>'ANNEX D'!$N$32</c:f>
              <c:strCache>
                <c:ptCount val="1"/>
                <c:pt idx="0">
                  <c:v>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D'!$F$32:$F$37</c:f>
              <c:numCache>
                <c:formatCode>0.0</c:formatCode>
                <c:ptCount val="6"/>
                <c:pt idx="0">
                  <c:v>179.68</c:v>
                </c:pt>
                <c:pt idx="1">
                  <c:v>181.63</c:v>
                </c:pt>
                <c:pt idx="2">
                  <c:v>234.387</c:v>
                </c:pt>
                <c:pt idx="3">
                  <c:v>201.11699999999999</c:v>
                </c:pt>
                <c:pt idx="4">
                  <c:v>200.65899999999999</c:v>
                </c:pt>
                <c:pt idx="5">
                  <c:v>161.02600000000001</c:v>
                </c:pt>
              </c:numCache>
            </c:numRef>
          </c:xVal>
          <c:yVal>
            <c:numRef>
              <c:f>'ANNEX D'!$G$32:$G$37</c:f>
              <c:numCache>
                <c:formatCode>0</c:formatCode>
                <c:ptCount val="6"/>
                <c:pt idx="0">
                  <c:v>32994</c:v>
                </c:pt>
                <c:pt idx="1">
                  <c:v>119613</c:v>
                </c:pt>
                <c:pt idx="2">
                  <c:v>18550</c:v>
                </c:pt>
                <c:pt idx="3">
                  <c:v>84140</c:v>
                </c:pt>
                <c:pt idx="4">
                  <c:v>44669</c:v>
                </c:pt>
                <c:pt idx="5">
                  <c:v>222161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F1F-4ADD-AF63-C286CF7F3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4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7589487623782202"/>
          <c:y val="0.5144042513518553"/>
          <c:w val="0.17165994969950527"/>
          <c:h val="0.295573880643947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'ANNEX D'!$N$6</c:f>
              <c:strCache>
                <c:ptCount val="1"/>
                <c:pt idx="0">
                  <c:v>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D'!$F$5:$F$10</c:f>
              <c:numCache>
                <c:formatCode>0.0</c:formatCode>
                <c:ptCount val="6"/>
                <c:pt idx="0">
                  <c:v>180.22800000000001</c:v>
                </c:pt>
                <c:pt idx="1">
                  <c:v>180.49100000000001</c:v>
                </c:pt>
                <c:pt idx="2">
                  <c:v>160.18100000000001</c:v>
                </c:pt>
                <c:pt idx="3">
                  <c:v>159.82900000000001</c:v>
                </c:pt>
                <c:pt idx="4">
                  <c:v>248.51599999999999</c:v>
                </c:pt>
                <c:pt idx="5">
                  <c:v>159.93100000000001</c:v>
                </c:pt>
              </c:numCache>
            </c:numRef>
          </c:xVal>
          <c:yVal>
            <c:numRef>
              <c:f>'ANNEX D'!$H$5:$H$10</c:f>
              <c:numCache>
                <c:formatCode>0</c:formatCode>
                <c:ptCount val="6"/>
                <c:pt idx="0">
                  <c:v>90504</c:v>
                </c:pt>
                <c:pt idx="1">
                  <c:v>206803</c:v>
                </c:pt>
                <c:pt idx="2">
                  <c:v>866519</c:v>
                </c:pt>
                <c:pt idx="3">
                  <c:v>596425</c:v>
                </c:pt>
                <c:pt idx="4">
                  <c:v>25216</c:v>
                </c:pt>
                <c:pt idx="5">
                  <c:v>213250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E0-4BDB-9FC8-95B518DF6BFA}"/>
            </c:ext>
          </c:extLst>
        </c:ser>
        <c:ser>
          <c:idx val="1"/>
          <c:order val="1"/>
          <c:tx>
            <c:strRef>
              <c:f>'ANNEX D'!$N$13</c:f>
              <c:strCache>
                <c:ptCount val="1"/>
                <c:pt idx="0">
                  <c:v>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D'!$F$11:$F$17</c:f>
              <c:numCache>
                <c:formatCode>0.0</c:formatCode>
                <c:ptCount val="7"/>
                <c:pt idx="0">
                  <c:v>178.98</c:v>
                </c:pt>
                <c:pt idx="1">
                  <c:v>179.983</c:v>
                </c:pt>
                <c:pt idx="2">
                  <c:v>197.93799999999999</c:v>
                </c:pt>
                <c:pt idx="3">
                  <c:v>260.56</c:v>
                </c:pt>
                <c:pt idx="4">
                  <c:v>279.63200000000001</c:v>
                </c:pt>
                <c:pt idx="5">
                  <c:v>340.91300000000001</c:v>
                </c:pt>
                <c:pt idx="6">
                  <c:v>320.86799999999999</c:v>
                </c:pt>
              </c:numCache>
            </c:numRef>
          </c:xVal>
          <c:yVal>
            <c:numRef>
              <c:f>'ANNEX D'!$H$11:$H$17</c:f>
              <c:numCache>
                <c:formatCode>0</c:formatCode>
                <c:ptCount val="7"/>
                <c:pt idx="0">
                  <c:v>1430723</c:v>
                </c:pt>
                <c:pt idx="1">
                  <c:v>1165915</c:v>
                </c:pt>
                <c:pt idx="2">
                  <c:v>2356255</c:v>
                </c:pt>
                <c:pt idx="3">
                  <c:v>806616</c:v>
                </c:pt>
                <c:pt idx="4">
                  <c:v>97724</c:v>
                </c:pt>
                <c:pt idx="5">
                  <c:v>17114</c:v>
                </c:pt>
                <c:pt idx="6">
                  <c:v>670914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E0-4BDB-9FC8-95B518DF6BFA}"/>
            </c:ext>
          </c:extLst>
        </c:ser>
        <c:ser>
          <c:idx val="2"/>
          <c:order val="2"/>
          <c:tx>
            <c:strRef>
              <c:f>'ANNEX D'!$N$19</c:f>
              <c:strCache>
                <c:ptCount val="1"/>
                <c:pt idx="0">
                  <c:v>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D'!$F$18:$F$23</c:f>
              <c:numCache>
                <c:formatCode>0.0</c:formatCode>
                <c:ptCount val="6"/>
                <c:pt idx="0">
                  <c:v>180.49</c:v>
                </c:pt>
                <c:pt idx="1">
                  <c:v>200.608</c:v>
                </c:pt>
                <c:pt idx="2">
                  <c:v>149.072</c:v>
                </c:pt>
                <c:pt idx="3">
                  <c:v>180.03399999999999</c:v>
                </c:pt>
                <c:pt idx="4">
                  <c:v>159.995</c:v>
                </c:pt>
                <c:pt idx="5">
                  <c:v>260.14400000000001</c:v>
                </c:pt>
              </c:numCache>
            </c:numRef>
          </c:xVal>
          <c:yVal>
            <c:numRef>
              <c:f>'ANNEX D'!$H$18:$H$23</c:f>
              <c:numCache>
                <c:formatCode>0</c:formatCode>
                <c:ptCount val="6"/>
                <c:pt idx="0">
                  <c:v>75858</c:v>
                </c:pt>
                <c:pt idx="1">
                  <c:v>402203</c:v>
                </c:pt>
                <c:pt idx="2">
                  <c:v>423318</c:v>
                </c:pt>
                <c:pt idx="3">
                  <c:v>624534</c:v>
                </c:pt>
                <c:pt idx="4">
                  <c:v>2326306</c:v>
                </c:pt>
                <c:pt idx="5">
                  <c:v>91202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DE0-4BDB-9FC8-95B518DF6BFA}"/>
            </c:ext>
          </c:extLst>
        </c:ser>
        <c:ser>
          <c:idx val="3"/>
          <c:order val="3"/>
          <c:tx>
            <c:strRef>
              <c:f>'ANNEX D'!$N$26</c:f>
              <c:strCache>
                <c:ptCount val="1"/>
                <c:pt idx="0">
                  <c:v>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D'!$F$25:$F$31</c:f>
              <c:numCache>
                <c:formatCode>0.0</c:formatCode>
                <c:ptCount val="7"/>
                <c:pt idx="0">
                  <c:v>179.72900000000001</c:v>
                </c:pt>
                <c:pt idx="1">
                  <c:v>179.09399999999999</c:v>
                </c:pt>
                <c:pt idx="2">
                  <c:v>200.19399999999999</c:v>
                </c:pt>
                <c:pt idx="3">
                  <c:v>160.18</c:v>
                </c:pt>
                <c:pt idx="4">
                  <c:v>209.398</c:v>
                </c:pt>
                <c:pt idx="5">
                  <c:v>225.18700000000001</c:v>
                </c:pt>
                <c:pt idx="6">
                  <c:v>199.089</c:v>
                </c:pt>
              </c:numCache>
            </c:numRef>
          </c:xVal>
          <c:yVal>
            <c:numRef>
              <c:f>'ANNEX D'!$H$25:$H$31</c:f>
              <c:numCache>
                <c:formatCode>0</c:formatCode>
                <c:ptCount val="7"/>
                <c:pt idx="0">
                  <c:v>1350690</c:v>
                </c:pt>
                <c:pt idx="1">
                  <c:v>62614</c:v>
                </c:pt>
                <c:pt idx="2">
                  <c:v>181971</c:v>
                </c:pt>
                <c:pt idx="3">
                  <c:v>1165915</c:v>
                </c:pt>
                <c:pt idx="4">
                  <c:v>91202</c:v>
                </c:pt>
                <c:pt idx="5">
                  <c:v>85442</c:v>
                </c:pt>
                <c:pt idx="6">
                  <c:v>152133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DE0-4BDB-9FC8-95B518DF6BFA}"/>
            </c:ext>
          </c:extLst>
        </c:ser>
        <c:ser>
          <c:idx val="4"/>
          <c:order val="4"/>
          <c:tx>
            <c:strRef>
              <c:f>'ANNEX D'!$N$32</c:f>
              <c:strCache>
                <c:ptCount val="1"/>
                <c:pt idx="0">
                  <c:v>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D'!$F$32:$F$37</c:f>
              <c:numCache>
                <c:formatCode>0.0</c:formatCode>
                <c:ptCount val="6"/>
                <c:pt idx="0">
                  <c:v>179.68</c:v>
                </c:pt>
                <c:pt idx="1">
                  <c:v>181.63</c:v>
                </c:pt>
                <c:pt idx="2">
                  <c:v>234.387</c:v>
                </c:pt>
                <c:pt idx="3">
                  <c:v>201.11699999999999</c:v>
                </c:pt>
                <c:pt idx="4">
                  <c:v>200.65899999999999</c:v>
                </c:pt>
                <c:pt idx="5">
                  <c:v>161.02600000000001</c:v>
                </c:pt>
              </c:numCache>
            </c:numRef>
          </c:xVal>
          <c:yVal>
            <c:numRef>
              <c:f>'ANNEX D'!$H$32:$H$37</c:f>
              <c:numCache>
                <c:formatCode>0</c:formatCode>
                <c:ptCount val="6"/>
                <c:pt idx="0">
                  <c:v>27505</c:v>
                </c:pt>
                <c:pt idx="1">
                  <c:v>139459</c:v>
                </c:pt>
                <c:pt idx="2">
                  <c:v>20496</c:v>
                </c:pt>
                <c:pt idx="3">
                  <c:v>91202</c:v>
                </c:pt>
                <c:pt idx="4">
                  <c:v>45534</c:v>
                </c:pt>
                <c:pt idx="5">
                  <c:v>197495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DE0-4BDB-9FC8-95B518DF6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4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7589487623782202"/>
          <c:y val="0.5144042513518553"/>
          <c:w val="0.17165994969950527"/>
          <c:h val="0.295573880643947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50%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'ANNEX D'!$N$6</c:f>
              <c:strCache>
                <c:ptCount val="1"/>
                <c:pt idx="0">
                  <c:v>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D'!$F$5:$F$10</c:f>
              <c:numCache>
                <c:formatCode>0.0</c:formatCode>
                <c:ptCount val="6"/>
                <c:pt idx="0">
                  <c:v>180.22800000000001</c:v>
                </c:pt>
                <c:pt idx="1">
                  <c:v>180.49100000000001</c:v>
                </c:pt>
                <c:pt idx="2">
                  <c:v>160.18100000000001</c:v>
                </c:pt>
                <c:pt idx="3">
                  <c:v>159.82900000000001</c:v>
                </c:pt>
                <c:pt idx="4">
                  <c:v>248.51599999999999</c:v>
                </c:pt>
                <c:pt idx="5">
                  <c:v>159.93100000000001</c:v>
                </c:pt>
              </c:numCache>
            </c:numRef>
          </c:xVal>
          <c:yVal>
            <c:numRef>
              <c:f>'ANNEX D'!$G$5:$G$10</c:f>
              <c:numCache>
                <c:formatCode>0</c:formatCode>
                <c:ptCount val="6"/>
                <c:pt idx="0">
                  <c:v>92612</c:v>
                </c:pt>
                <c:pt idx="1">
                  <c:v>239884</c:v>
                </c:pt>
                <c:pt idx="2">
                  <c:v>774264</c:v>
                </c:pt>
                <c:pt idx="3">
                  <c:v>624534</c:v>
                </c:pt>
                <c:pt idx="4">
                  <c:v>25216</c:v>
                </c:pt>
                <c:pt idx="5">
                  <c:v>249907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EE-4012-898D-8E4598CE1E07}"/>
            </c:ext>
          </c:extLst>
        </c:ser>
        <c:ser>
          <c:idx val="1"/>
          <c:order val="1"/>
          <c:tx>
            <c:strRef>
              <c:f>'ANNEX D'!$N$13</c:f>
              <c:strCache>
                <c:ptCount val="1"/>
                <c:pt idx="0">
                  <c:v>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D'!$F$11:$F$17</c:f>
              <c:numCache>
                <c:formatCode>0.0</c:formatCode>
                <c:ptCount val="7"/>
                <c:pt idx="0">
                  <c:v>178.98</c:v>
                </c:pt>
                <c:pt idx="1">
                  <c:v>179.983</c:v>
                </c:pt>
                <c:pt idx="2">
                  <c:v>197.93799999999999</c:v>
                </c:pt>
                <c:pt idx="3">
                  <c:v>260.56</c:v>
                </c:pt>
                <c:pt idx="4">
                  <c:v>279.63200000000001</c:v>
                </c:pt>
                <c:pt idx="5">
                  <c:v>340.91300000000001</c:v>
                </c:pt>
                <c:pt idx="6">
                  <c:v>320.86799999999999</c:v>
                </c:pt>
              </c:numCache>
            </c:numRef>
          </c:xVal>
          <c:yVal>
            <c:numRef>
              <c:f>'ANNEX D'!$G$11:$G$17</c:f>
              <c:numCache>
                <c:formatCode>0</c:formatCode>
                <c:ptCount val="7"/>
                <c:pt idx="0">
                  <c:v>1196129</c:v>
                </c:pt>
                <c:pt idx="1">
                  <c:v>1196129</c:v>
                </c:pt>
                <c:pt idx="2">
                  <c:v>2282093</c:v>
                </c:pt>
                <c:pt idx="3">
                  <c:v>400150</c:v>
                </c:pt>
                <c:pt idx="4">
                  <c:v>78223</c:v>
                </c:pt>
                <c:pt idx="5">
                  <c:v>18198</c:v>
                </c:pt>
                <c:pt idx="6">
                  <c:v>230262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EE-4012-898D-8E4598CE1E07}"/>
            </c:ext>
          </c:extLst>
        </c:ser>
        <c:ser>
          <c:idx val="2"/>
          <c:order val="2"/>
          <c:tx>
            <c:strRef>
              <c:f>'ANNEX D'!$N$19</c:f>
              <c:strCache>
                <c:ptCount val="1"/>
                <c:pt idx="0">
                  <c:v>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D'!$F$18:$F$23</c:f>
              <c:numCache>
                <c:formatCode>0.0</c:formatCode>
                <c:ptCount val="6"/>
                <c:pt idx="0">
                  <c:v>180.49</c:v>
                </c:pt>
                <c:pt idx="1">
                  <c:v>200.608</c:v>
                </c:pt>
                <c:pt idx="2">
                  <c:v>149.072</c:v>
                </c:pt>
                <c:pt idx="3">
                  <c:v>180.03399999999999</c:v>
                </c:pt>
                <c:pt idx="4">
                  <c:v>159.995</c:v>
                </c:pt>
                <c:pt idx="5">
                  <c:v>260.14400000000001</c:v>
                </c:pt>
              </c:numCache>
            </c:numRef>
          </c:xVal>
          <c:yVal>
            <c:numRef>
              <c:f>'ANNEX D'!$G$18:$G$23</c:f>
              <c:numCache>
                <c:formatCode>0</c:formatCode>
                <c:ptCount val="6"/>
                <c:pt idx="0">
                  <c:v>73565</c:v>
                </c:pt>
                <c:pt idx="1">
                  <c:v>348516</c:v>
                </c:pt>
                <c:pt idx="2">
                  <c:v>425490</c:v>
                </c:pt>
                <c:pt idx="3">
                  <c:v>473757</c:v>
                </c:pt>
                <c:pt idx="4">
                  <c:v>1385692</c:v>
                </c:pt>
                <c:pt idx="5">
                  <c:v>66070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5EE-4012-898D-8E4598CE1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4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7589487623782202"/>
          <c:y val="0.5144042513518553"/>
          <c:w val="0.17165994969950527"/>
          <c:h val="0.295573880643947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'ANNEX D'!$N$6</c:f>
              <c:strCache>
                <c:ptCount val="1"/>
                <c:pt idx="0">
                  <c:v>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D'!$F$5:$F$10</c:f>
              <c:numCache>
                <c:formatCode>0.0</c:formatCode>
                <c:ptCount val="6"/>
                <c:pt idx="0">
                  <c:v>180.22800000000001</c:v>
                </c:pt>
                <c:pt idx="1">
                  <c:v>180.49100000000001</c:v>
                </c:pt>
                <c:pt idx="2">
                  <c:v>160.18100000000001</c:v>
                </c:pt>
                <c:pt idx="3">
                  <c:v>159.82900000000001</c:v>
                </c:pt>
                <c:pt idx="4">
                  <c:v>248.51599999999999</c:v>
                </c:pt>
                <c:pt idx="5">
                  <c:v>159.93100000000001</c:v>
                </c:pt>
              </c:numCache>
            </c:numRef>
          </c:xVal>
          <c:yVal>
            <c:numRef>
              <c:f>'ANNEX D'!$H$5:$H$10</c:f>
              <c:numCache>
                <c:formatCode>0</c:formatCode>
                <c:ptCount val="6"/>
                <c:pt idx="0">
                  <c:v>90504</c:v>
                </c:pt>
                <c:pt idx="1">
                  <c:v>206803</c:v>
                </c:pt>
                <c:pt idx="2">
                  <c:v>866519</c:v>
                </c:pt>
                <c:pt idx="3">
                  <c:v>596425</c:v>
                </c:pt>
                <c:pt idx="4">
                  <c:v>25216</c:v>
                </c:pt>
                <c:pt idx="5">
                  <c:v>213250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F6-41CE-A50F-40A9094A3F84}"/>
            </c:ext>
          </c:extLst>
        </c:ser>
        <c:ser>
          <c:idx val="1"/>
          <c:order val="1"/>
          <c:tx>
            <c:strRef>
              <c:f>'ANNEX D'!$N$13</c:f>
              <c:strCache>
                <c:ptCount val="1"/>
                <c:pt idx="0">
                  <c:v>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D'!$F$11:$F$17</c:f>
              <c:numCache>
                <c:formatCode>0.0</c:formatCode>
                <c:ptCount val="7"/>
                <c:pt idx="0">
                  <c:v>178.98</c:v>
                </c:pt>
                <c:pt idx="1">
                  <c:v>179.983</c:v>
                </c:pt>
                <c:pt idx="2">
                  <c:v>197.93799999999999</c:v>
                </c:pt>
                <c:pt idx="3">
                  <c:v>260.56</c:v>
                </c:pt>
                <c:pt idx="4">
                  <c:v>279.63200000000001</c:v>
                </c:pt>
                <c:pt idx="5">
                  <c:v>340.91300000000001</c:v>
                </c:pt>
                <c:pt idx="6">
                  <c:v>320.86799999999999</c:v>
                </c:pt>
              </c:numCache>
            </c:numRef>
          </c:xVal>
          <c:yVal>
            <c:numRef>
              <c:f>'ANNEX D'!$H$11:$H$17</c:f>
              <c:numCache>
                <c:formatCode>0</c:formatCode>
                <c:ptCount val="7"/>
                <c:pt idx="0">
                  <c:v>1430723</c:v>
                </c:pt>
                <c:pt idx="1">
                  <c:v>1165915</c:v>
                </c:pt>
                <c:pt idx="2">
                  <c:v>2356255</c:v>
                </c:pt>
                <c:pt idx="3">
                  <c:v>806616</c:v>
                </c:pt>
                <c:pt idx="4">
                  <c:v>97724</c:v>
                </c:pt>
                <c:pt idx="5">
                  <c:v>17114</c:v>
                </c:pt>
                <c:pt idx="6">
                  <c:v>670914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1F6-41CE-A50F-40A9094A3F84}"/>
            </c:ext>
          </c:extLst>
        </c:ser>
        <c:ser>
          <c:idx val="2"/>
          <c:order val="2"/>
          <c:tx>
            <c:strRef>
              <c:f>'ANNEX D'!$N$19</c:f>
              <c:strCache>
                <c:ptCount val="1"/>
                <c:pt idx="0">
                  <c:v>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D'!$F$18:$F$23</c:f>
              <c:numCache>
                <c:formatCode>0.0</c:formatCode>
                <c:ptCount val="6"/>
                <c:pt idx="0">
                  <c:v>180.49</c:v>
                </c:pt>
                <c:pt idx="1">
                  <c:v>200.608</c:v>
                </c:pt>
                <c:pt idx="2">
                  <c:v>149.072</c:v>
                </c:pt>
                <c:pt idx="3">
                  <c:v>180.03399999999999</c:v>
                </c:pt>
                <c:pt idx="4">
                  <c:v>159.995</c:v>
                </c:pt>
                <c:pt idx="5">
                  <c:v>260.14400000000001</c:v>
                </c:pt>
              </c:numCache>
            </c:numRef>
          </c:xVal>
          <c:yVal>
            <c:numRef>
              <c:f>'ANNEX D'!$H$18:$H$23</c:f>
              <c:numCache>
                <c:formatCode>0</c:formatCode>
                <c:ptCount val="6"/>
                <c:pt idx="0">
                  <c:v>75858</c:v>
                </c:pt>
                <c:pt idx="1">
                  <c:v>402203</c:v>
                </c:pt>
                <c:pt idx="2">
                  <c:v>423318</c:v>
                </c:pt>
                <c:pt idx="3">
                  <c:v>624534</c:v>
                </c:pt>
                <c:pt idx="4">
                  <c:v>2326306</c:v>
                </c:pt>
                <c:pt idx="5">
                  <c:v>91202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1F6-41CE-A50F-40A9094A3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4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7589487623782202"/>
          <c:y val="0.5144042513518553"/>
          <c:w val="0.17165994969950527"/>
          <c:h val="0.295573880643947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50%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'ANNEX D'!$N$19</c:f>
              <c:strCache>
                <c:ptCount val="1"/>
                <c:pt idx="0">
                  <c:v>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D'!$F$18:$F$23</c:f>
              <c:numCache>
                <c:formatCode>0.0</c:formatCode>
                <c:ptCount val="6"/>
                <c:pt idx="0">
                  <c:v>180.49</c:v>
                </c:pt>
                <c:pt idx="1">
                  <c:v>200.608</c:v>
                </c:pt>
                <c:pt idx="2">
                  <c:v>149.072</c:v>
                </c:pt>
                <c:pt idx="3">
                  <c:v>180.03399999999999</c:v>
                </c:pt>
                <c:pt idx="4">
                  <c:v>159.995</c:v>
                </c:pt>
                <c:pt idx="5">
                  <c:v>260.14400000000001</c:v>
                </c:pt>
              </c:numCache>
            </c:numRef>
          </c:xVal>
          <c:yVal>
            <c:numRef>
              <c:f>'ANNEX D'!$G$18:$G$23</c:f>
              <c:numCache>
                <c:formatCode>0</c:formatCode>
                <c:ptCount val="6"/>
                <c:pt idx="0">
                  <c:v>73565</c:v>
                </c:pt>
                <c:pt idx="1">
                  <c:v>348516</c:v>
                </c:pt>
                <c:pt idx="2">
                  <c:v>425490</c:v>
                </c:pt>
                <c:pt idx="3">
                  <c:v>473757</c:v>
                </c:pt>
                <c:pt idx="4">
                  <c:v>1385692</c:v>
                </c:pt>
                <c:pt idx="5">
                  <c:v>66070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BF3-40FE-A2C7-90C9CA4094DB}"/>
            </c:ext>
          </c:extLst>
        </c:ser>
        <c:ser>
          <c:idx val="3"/>
          <c:order val="1"/>
          <c:tx>
            <c:strRef>
              <c:f>'ANNEX D'!$N$26</c:f>
              <c:strCache>
                <c:ptCount val="1"/>
                <c:pt idx="0">
                  <c:v>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D'!$F$25:$F$31</c:f>
              <c:numCache>
                <c:formatCode>0.0</c:formatCode>
                <c:ptCount val="7"/>
                <c:pt idx="0">
                  <c:v>179.72900000000001</c:v>
                </c:pt>
                <c:pt idx="1">
                  <c:v>179.09399999999999</c:v>
                </c:pt>
                <c:pt idx="2">
                  <c:v>200.19399999999999</c:v>
                </c:pt>
                <c:pt idx="3">
                  <c:v>160.18</c:v>
                </c:pt>
                <c:pt idx="4">
                  <c:v>209.398</c:v>
                </c:pt>
                <c:pt idx="5">
                  <c:v>225.18700000000001</c:v>
                </c:pt>
                <c:pt idx="6">
                  <c:v>199.089</c:v>
                </c:pt>
              </c:numCache>
            </c:numRef>
          </c:xVal>
          <c:yVal>
            <c:numRef>
              <c:f>'ANNEX D'!$G$25:$G$31</c:f>
              <c:numCache>
                <c:formatCode>0</c:formatCode>
                <c:ptCount val="7"/>
                <c:pt idx="0">
                  <c:v>1250899</c:v>
                </c:pt>
                <c:pt idx="1">
                  <c:v>81910</c:v>
                </c:pt>
                <c:pt idx="2">
                  <c:v>189574</c:v>
                </c:pt>
                <c:pt idx="3">
                  <c:v>1072891</c:v>
                </c:pt>
                <c:pt idx="4">
                  <c:v>96977</c:v>
                </c:pt>
                <c:pt idx="5">
                  <c:v>99236</c:v>
                </c:pt>
                <c:pt idx="6">
                  <c:v>154486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BF3-40FE-A2C7-90C9CA4094DB}"/>
            </c:ext>
          </c:extLst>
        </c:ser>
        <c:ser>
          <c:idx val="4"/>
          <c:order val="2"/>
          <c:tx>
            <c:strRef>
              <c:f>'ANNEX D'!$N$32</c:f>
              <c:strCache>
                <c:ptCount val="1"/>
                <c:pt idx="0">
                  <c:v>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D'!$F$32:$F$37</c:f>
              <c:numCache>
                <c:formatCode>0.0</c:formatCode>
                <c:ptCount val="6"/>
                <c:pt idx="0">
                  <c:v>179.68</c:v>
                </c:pt>
                <c:pt idx="1">
                  <c:v>181.63</c:v>
                </c:pt>
                <c:pt idx="2">
                  <c:v>234.387</c:v>
                </c:pt>
                <c:pt idx="3">
                  <c:v>201.11699999999999</c:v>
                </c:pt>
                <c:pt idx="4">
                  <c:v>200.65899999999999</c:v>
                </c:pt>
                <c:pt idx="5">
                  <c:v>161.02600000000001</c:v>
                </c:pt>
              </c:numCache>
            </c:numRef>
          </c:xVal>
          <c:yVal>
            <c:numRef>
              <c:f>'ANNEX D'!$G$32:$G$37</c:f>
              <c:numCache>
                <c:formatCode>0</c:formatCode>
                <c:ptCount val="6"/>
                <c:pt idx="0">
                  <c:v>32994</c:v>
                </c:pt>
                <c:pt idx="1">
                  <c:v>119613</c:v>
                </c:pt>
                <c:pt idx="2">
                  <c:v>18550</c:v>
                </c:pt>
                <c:pt idx="3">
                  <c:v>84140</c:v>
                </c:pt>
                <c:pt idx="4">
                  <c:v>44669</c:v>
                </c:pt>
                <c:pt idx="5">
                  <c:v>222161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BF3-40FE-A2C7-90C9CA409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4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7589487623782202"/>
          <c:y val="0.5144042513518553"/>
          <c:w val="0.17165994969950527"/>
          <c:h val="0.295573880643947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'ANNEX D'!$N$19</c:f>
              <c:strCache>
                <c:ptCount val="1"/>
                <c:pt idx="0">
                  <c:v>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D'!$F$18:$F$23</c:f>
              <c:numCache>
                <c:formatCode>0.0</c:formatCode>
                <c:ptCount val="6"/>
                <c:pt idx="0">
                  <c:v>180.49</c:v>
                </c:pt>
                <c:pt idx="1">
                  <c:v>200.608</c:v>
                </c:pt>
                <c:pt idx="2">
                  <c:v>149.072</c:v>
                </c:pt>
                <c:pt idx="3">
                  <c:v>180.03399999999999</c:v>
                </c:pt>
                <c:pt idx="4">
                  <c:v>159.995</c:v>
                </c:pt>
                <c:pt idx="5">
                  <c:v>260.14400000000001</c:v>
                </c:pt>
              </c:numCache>
            </c:numRef>
          </c:xVal>
          <c:yVal>
            <c:numRef>
              <c:f>'ANNEX D'!$H$18:$H$23</c:f>
              <c:numCache>
                <c:formatCode>0</c:formatCode>
                <c:ptCount val="6"/>
                <c:pt idx="0">
                  <c:v>75858</c:v>
                </c:pt>
                <c:pt idx="1">
                  <c:v>402203</c:v>
                </c:pt>
                <c:pt idx="2">
                  <c:v>423318</c:v>
                </c:pt>
                <c:pt idx="3">
                  <c:v>624534</c:v>
                </c:pt>
                <c:pt idx="4">
                  <c:v>2326306</c:v>
                </c:pt>
                <c:pt idx="5">
                  <c:v>91202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2A9-49B4-BF86-D763AB147E68}"/>
            </c:ext>
          </c:extLst>
        </c:ser>
        <c:ser>
          <c:idx val="3"/>
          <c:order val="1"/>
          <c:tx>
            <c:strRef>
              <c:f>'ANNEX D'!$N$26</c:f>
              <c:strCache>
                <c:ptCount val="1"/>
                <c:pt idx="0">
                  <c:v>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D'!$F$25:$F$31</c:f>
              <c:numCache>
                <c:formatCode>0.0</c:formatCode>
                <c:ptCount val="7"/>
                <c:pt idx="0">
                  <c:v>179.72900000000001</c:v>
                </c:pt>
                <c:pt idx="1">
                  <c:v>179.09399999999999</c:v>
                </c:pt>
                <c:pt idx="2">
                  <c:v>200.19399999999999</c:v>
                </c:pt>
                <c:pt idx="3">
                  <c:v>160.18</c:v>
                </c:pt>
                <c:pt idx="4">
                  <c:v>209.398</c:v>
                </c:pt>
                <c:pt idx="5">
                  <c:v>225.18700000000001</c:v>
                </c:pt>
                <c:pt idx="6">
                  <c:v>199.089</c:v>
                </c:pt>
              </c:numCache>
            </c:numRef>
          </c:xVal>
          <c:yVal>
            <c:numRef>
              <c:f>'ANNEX D'!$H$25:$H$31</c:f>
              <c:numCache>
                <c:formatCode>0</c:formatCode>
                <c:ptCount val="7"/>
                <c:pt idx="0">
                  <c:v>1350690</c:v>
                </c:pt>
                <c:pt idx="1">
                  <c:v>62614</c:v>
                </c:pt>
                <c:pt idx="2">
                  <c:v>181971</c:v>
                </c:pt>
                <c:pt idx="3">
                  <c:v>1165915</c:v>
                </c:pt>
                <c:pt idx="4">
                  <c:v>91202</c:v>
                </c:pt>
                <c:pt idx="5">
                  <c:v>85442</c:v>
                </c:pt>
                <c:pt idx="6">
                  <c:v>152133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2A9-49B4-BF86-D763AB147E68}"/>
            </c:ext>
          </c:extLst>
        </c:ser>
        <c:ser>
          <c:idx val="4"/>
          <c:order val="2"/>
          <c:tx>
            <c:strRef>
              <c:f>'ANNEX D'!$N$32</c:f>
              <c:strCache>
                <c:ptCount val="1"/>
                <c:pt idx="0">
                  <c:v>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D'!$F$32:$F$37</c:f>
              <c:numCache>
                <c:formatCode>0.0</c:formatCode>
                <c:ptCount val="6"/>
                <c:pt idx="0">
                  <c:v>179.68</c:v>
                </c:pt>
                <c:pt idx="1">
                  <c:v>181.63</c:v>
                </c:pt>
                <c:pt idx="2">
                  <c:v>234.387</c:v>
                </c:pt>
                <c:pt idx="3">
                  <c:v>201.11699999999999</c:v>
                </c:pt>
                <c:pt idx="4">
                  <c:v>200.65899999999999</c:v>
                </c:pt>
                <c:pt idx="5">
                  <c:v>161.02600000000001</c:v>
                </c:pt>
              </c:numCache>
            </c:numRef>
          </c:xVal>
          <c:yVal>
            <c:numRef>
              <c:f>'ANNEX D'!$H$32:$H$37</c:f>
              <c:numCache>
                <c:formatCode>0</c:formatCode>
                <c:ptCount val="6"/>
                <c:pt idx="0">
                  <c:v>27505</c:v>
                </c:pt>
                <c:pt idx="1">
                  <c:v>139459</c:v>
                </c:pt>
                <c:pt idx="2">
                  <c:v>20496</c:v>
                </c:pt>
                <c:pt idx="3">
                  <c:v>91202</c:v>
                </c:pt>
                <c:pt idx="4">
                  <c:v>45534</c:v>
                </c:pt>
                <c:pt idx="5">
                  <c:v>197495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2A9-49B4-BF86-D763AB147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4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7589487623782202"/>
          <c:y val="0.5144042513518553"/>
          <c:w val="0.17165994969950527"/>
          <c:h val="0.295573880643947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'ANNEX D'!$N$6</c:f>
              <c:strCache>
                <c:ptCount val="1"/>
                <c:pt idx="0">
                  <c:v>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power"/>
            <c:backward val="25"/>
            <c:dispRSqr val="0"/>
            <c:dispEq val="0"/>
          </c:trendline>
          <c:xVal>
            <c:numRef>
              <c:f>'ANNEX D'!$F$5:$F$10</c:f>
              <c:numCache>
                <c:formatCode>0.0</c:formatCode>
                <c:ptCount val="6"/>
                <c:pt idx="0">
                  <c:v>180.22800000000001</c:v>
                </c:pt>
                <c:pt idx="1">
                  <c:v>180.49100000000001</c:v>
                </c:pt>
                <c:pt idx="2">
                  <c:v>160.18100000000001</c:v>
                </c:pt>
                <c:pt idx="3">
                  <c:v>159.82900000000001</c:v>
                </c:pt>
                <c:pt idx="4">
                  <c:v>248.51599999999999</c:v>
                </c:pt>
                <c:pt idx="5">
                  <c:v>159.93100000000001</c:v>
                </c:pt>
              </c:numCache>
            </c:numRef>
          </c:xVal>
          <c:yVal>
            <c:numRef>
              <c:f>'ANNEX D'!$H$5:$H$10</c:f>
              <c:numCache>
                <c:formatCode>0</c:formatCode>
                <c:ptCount val="6"/>
                <c:pt idx="0">
                  <c:v>90504</c:v>
                </c:pt>
                <c:pt idx="1">
                  <c:v>206803</c:v>
                </c:pt>
                <c:pt idx="2">
                  <c:v>866519</c:v>
                </c:pt>
                <c:pt idx="3">
                  <c:v>596425</c:v>
                </c:pt>
                <c:pt idx="4">
                  <c:v>25216</c:v>
                </c:pt>
                <c:pt idx="5">
                  <c:v>213250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A0-4EED-AAB9-6C699BC3BB67}"/>
            </c:ext>
          </c:extLst>
        </c:ser>
        <c:ser>
          <c:idx val="1"/>
          <c:order val="1"/>
          <c:tx>
            <c:strRef>
              <c:f>'ANNEX D'!$N$13</c:f>
              <c:strCache>
                <c:ptCount val="1"/>
                <c:pt idx="0">
                  <c:v>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D'!$F$11:$F$17</c:f>
              <c:numCache>
                <c:formatCode>0.0</c:formatCode>
                <c:ptCount val="7"/>
                <c:pt idx="0">
                  <c:v>178.98</c:v>
                </c:pt>
                <c:pt idx="1">
                  <c:v>179.983</c:v>
                </c:pt>
                <c:pt idx="2">
                  <c:v>197.93799999999999</c:v>
                </c:pt>
                <c:pt idx="3">
                  <c:v>260.56</c:v>
                </c:pt>
                <c:pt idx="4">
                  <c:v>279.63200000000001</c:v>
                </c:pt>
                <c:pt idx="5">
                  <c:v>340.91300000000001</c:v>
                </c:pt>
                <c:pt idx="6">
                  <c:v>320.86799999999999</c:v>
                </c:pt>
              </c:numCache>
            </c:numRef>
          </c:xVal>
          <c:yVal>
            <c:numRef>
              <c:f>'ANNEX D'!$H$11:$H$17</c:f>
              <c:numCache>
                <c:formatCode>0</c:formatCode>
                <c:ptCount val="7"/>
                <c:pt idx="0">
                  <c:v>1430723</c:v>
                </c:pt>
                <c:pt idx="1">
                  <c:v>1165915</c:v>
                </c:pt>
                <c:pt idx="2">
                  <c:v>2356255</c:v>
                </c:pt>
                <c:pt idx="3">
                  <c:v>806616</c:v>
                </c:pt>
                <c:pt idx="4">
                  <c:v>97724</c:v>
                </c:pt>
                <c:pt idx="5">
                  <c:v>17114</c:v>
                </c:pt>
                <c:pt idx="6">
                  <c:v>670914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1A0-4EED-AAB9-6C699BC3BB67}"/>
            </c:ext>
          </c:extLst>
        </c:ser>
        <c:ser>
          <c:idx val="2"/>
          <c:order val="2"/>
          <c:tx>
            <c:strRef>
              <c:f>'ANNEX D'!$N$19</c:f>
              <c:strCache>
                <c:ptCount val="1"/>
                <c:pt idx="0">
                  <c:v>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backward val="20"/>
            <c:dispRSqr val="0"/>
            <c:dispEq val="0"/>
          </c:trendline>
          <c:xVal>
            <c:numRef>
              <c:f>'ANNEX D'!$F$18:$F$24</c:f>
              <c:numCache>
                <c:formatCode>0.0</c:formatCode>
                <c:ptCount val="7"/>
                <c:pt idx="0">
                  <c:v>180.49</c:v>
                </c:pt>
                <c:pt idx="1">
                  <c:v>200.608</c:v>
                </c:pt>
                <c:pt idx="2">
                  <c:v>149.072</c:v>
                </c:pt>
                <c:pt idx="3">
                  <c:v>180.03399999999999</c:v>
                </c:pt>
                <c:pt idx="4">
                  <c:v>159.995</c:v>
                </c:pt>
                <c:pt idx="5">
                  <c:v>260.14400000000001</c:v>
                </c:pt>
                <c:pt idx="6">
                  <c:v>279.41699999999997</c:v>
                </c:pt>
              </c:numCache>
            </c:numRef>
          </c:xVal>
          <c:yVal>
            <c:numRef>
              <c:f>'ANNEX D'!$H$18:$H$24</c:f>
              <c:numCache>
                <c:formatCode>0</c:formatCode>
                <c:ptCount val="7"/>
                <c:pt idx="0">
                  <c:v>75858</c:v>
                </c:pt>
                <c:pt idx="1">
                  <c:v>402203</c:v>
                </c:pt>
                <c:pt idx="2">
                  <c:v>423318</c:v>
                </c:pt>
                <c:pt idx="3">
                  <c:v>624534</c:v>
                </c:pt>
                <c:pt idx="4">
                  <c:v>2326306</c:v>
                </c:pt>
                <c:pt idx="5">
                  <c:v>91202</c:v>
                </c:pt>
                <c:pt idx="6" formatCode="General">
                  <c:v>87097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1A0-4EED-AAB9-6C699BC3BB67}"/>
            </c:ext>
          </c:extLst>
        </c:ser>
        <c:ser>
          <c:idx val="3"/>
          <c:order val="3"/>
          <c:tx>
            <c:strRef>
              <c:f>'ANNEX D'!$N$26</c:f>
              <c:strCache>
                <c:ptCount val="1"/>
                <c:pt idx="0">
                  <c:v>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backward val="10"/>
            <c:dispRSqr val="0"/>
            <c:dispEq val="0"/>
          </c:trendline>
          <c:xVal>
            <c:numRef>
              <c:f>'ANNEX D'!$F$25:$F$31</c:f>
              <c:numCache>
                <c:formatCode>0.0</c:formatCode>
                <c:ptCount val="7"/>
                <c:pt idx="0">
                  <c:v>179.72900000000001</c:v>
                </c:pt>
                <c:pt idx="1">
                  <c:v>179.09399999999999</c:v>
                </c:pt>
                <c:pt idx="2">
                  <c:v>200.19399999999999</c:v>
                </c:pt>
                <c:pt idx="3">
                  <c:v>160.18</c:v>
                </c:pt>
                <c:pt idx="4">
                  <c:v>209.398</c:v>
                </c:pt>
                <c:pt idx="5">
                  <c:v>225.18700000000001</c:v>
                </c:pt>
                <c:pt idx="6">
                  <c:v>199.089</c:v>
                </c:pt>
              </c:numCache>
            </c:numRef>
          </c:xVal>
          <c:yVal>
            <c:numRef>
              <c:f>'ANNEX D'!$H$25:$H$31</c:f>
              <c:numCache>
                <c:formatCode>0</c:formatCode>
                <c:ptCount val="7"/>
                <c:pt idx="0">
                  <c:v>1350690</c:v>
                </c:pt>
                <c:pt idx="1">
                  <c:v>62614</c:v>
                </c:pt>
                <c:pt idx="2">
                  <c:v>181971</c:v>
                </c:pt>
                <c:pt idx="3">
                  <c:v>1165915</c:v>
                </c:pt>
                <c:pt idx="4">
                  <c:v>91202</c:v>
                </c:pt>
                <c:pt idx="5">
                  <c:v>85442</c:v>
                </c:pt>
                <c:pt idx="6">
                  <c:v>152133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1A0-4EED-AAB9-6C699BC3BB67}"/>
            </c:ext>
          </c:extLst>
        </c:ser>
        <c:ser>
          <c:idx val="4"/>
          <c:order val="4"/>
          <c:tx>
            <c:strRef>
              <c:f>'ANNEX D'!$N$32</c:f>
              <c:strCache>
                <c:ptCount val="1"/>
                <c:pt idx="0">
                  <c:v>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wer"/>
            <c:backward val="20"/>
            <c:dispRSqr val="0"/>
            <c:dispEq val="0"/>
          </c:trendline>
          <c:xVal>
            <c:numRef>
              <c:f>'ANNEX D'!$F$32:$F$38</c:f>
              <c:numCache>
                <c:formatCode>0.0</c:formatCode>
                <c:ptCount val="7"/>
                <c:pt idx="0">
                  <c:v>179.68</c:v>
                </c:pt>
                <c:pt idx="1">
                  <c:v>181.63</c:v>
                </c:pt>
                <c:pt idx="2">
                  <c:v>234.387</c:v>
                </c:pt>
                <c:pt idx="3">
                  <c:v>201.11699999999999</c:v>
                </c:pt>
                <c:pt idx="4">
                  <c:v>200.65899999999999</c:v>
                </c:pt>
                <c:pt idx="5">
                  <c:v>161.02600000000001</c:v>
                </c:pt>
                <c:pt idx="6">
                  <c:v>150.221</c:v>
                </c:pt>
              </c:numCache>
            </c:numRef>
          </c:xVal>
          <c:yVal>
            <c:numRef>
              <c:f>'ANNEX D'!$H$32:$H$38</c:f>
              <c:numCache>
                <c:formatCode>0</c:formatCode>
                <c:ptCount val="7"/>
                <c:pt idx="0">
                  <c:v>27505</c:v>
                </c:pt>
                <c:pt idx="1">
                  <c:v>139459</c:v>
                </c:pt>
                <c:pt idx="2">
                  <c:v>20496</c:v>
                </c:pt>
                <c:pt idx="3">
                  <c:v>91202</c:v>
                </c:pt>
                <c:pt idx="4">
                  <c:v>45534</c:v>
                </c:pt>
                <c:pt idx="5">
                  <c:v>197495</c:v>
                </c:pt>
                <c:pt idx="6">
                  <c:v>1275134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1A0-4EED-AAB9-6C699BC3B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 sz="1400" b="1" i="0" u="none" strike="noStrike" baseline="0">
                <a:effectLst/>
              </a:rPr>
              <a:t>ε</a:t>
            </a:r>
            <a:r>
              <a:rPr lang="el-GR" sz="1400" b="1" i="0" u="none" strike="noStrike" baseline="-25000">
                <a:effectLst/>
              </a:rPr>
              <a:t>6</a:t>
            </a:r>
            <a:r>
              <a:rPr lang="el-GR" sz="1400" b="1" i="0" u="none" strike="noStrike" baseline="0">
                <a:effectLst/>
              </a:rPr>
              <a:t> [μ</a:t>
            </a:r>
            <a:r>
              <a:rPr lang="it-IT" sz="1400" b="1" i="0" u="none" strike="noStrike" baseline="0">
                <a:effectLst/>
              </a:rPr>
              <a:t>m/m]</a:t>
            </a:r>
            <a:r>
              <a:rPr lang="it-IT" sz="1400" b="0" i="0" u="none" strike="noStrike" baseline="0">
                <a:effectLst/>
              </a:rPr>
              <a:t> 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'ANNEX F'!$Y$21</c:f>
              <c:strCache>
                <c:ptCount val="1"/>
                <c:pt idx="0">
                  <c:v>Nf, 50%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'ANNEX F'!$X$22:$X$26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'ANNEX F'!$Y$22:$Y$26</c:f>
              <c:numCache>
                <c:formatCode>0</c:formatCode>
                <c:ptCount val="5"/>
                <c:pt idx="0">
                  <c:v>25.447597675002989</c:v>
                </c:pt>
                <c:pt idx="1">
                  <c:v>26.547566553223966</c:v>
                </c:pt>
                <c:pt idx="2">
                  <c:v>25.479977849275958</c:v>
                </c:pt>
                <c:pt idx="3">
                  <c:v>24.865104377909148</c:v>
                </c:pt>
                <c:pt idx="4">
                  <c:v>25.633761261956717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C3-4543-AAF4-907B447531B9}"/>
            </c:ext>
          </c:extLst>
        </c:ser>
        <c:ser>
          <c:idx val="1"/>
          <c:order val="1"/>
          <c:tx>
            <c:strRef>
              <c:f>'ANNEX F'!$Z$21</c:f>
              <c:strCache>
                <c:ptCount val="1"/>
                <c:pt idx="0">
                  <c:v>Nf, 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'ANNEX F'!$X$22:$X$26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'ANNEX F'!$Z$22:$Z$26</c:f>
              <c:numCache>
                <c:formatCode>0</c:formatCode>
                <c:ptCount val="5"/>
                <c:pt idx="0">
                  <c:v>24.764627334842682</c:v>
                </c:pt>
                <c:pt idx="1">
                  <c:v>25.775703642773745</c:v>
                </c:pt>
                <c:pt idx="2">
                  <c:v>24.903954710105605</c:v>
                </c:pt>
                <c:pt idx="3">
                  <c:v>24.976006895818323</c:v>
                </c:pt>
                <c:pt idx="4">
                  <c:v>25.682204382387575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C3-4543-AAF4-907B447531B9}"/>
            </c:ext>
          </c:extLst>
        </c:ser>
        <c:ser>
          <c:idx val="2"/>
          <c:order val="2"/>
          <c:tx>
            <c:strRef>
              <c:f>'ANNEX F'!$AA$21</c:f>
              <c:strCache>
                <c:ptCount val="1"/>
                <c:pt idx="0">
                  <c:v>Nf, ROTTURA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'ANNEX F'!$X$22:$X$26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'ANNEX F'!$AA$22:$AA$26</c:f>
              <c:numCache>
                <c:formatCode>0</c:formatCode>
                <c:ptCount val="5"/>
                <c:pt idx="0">
                  <c:v>27.56661605757898</c:v>
                </c:pt>
                <c:pt idx="1">
                  <c:v>28.547590699817874</c:v>
                </c:pt>
                <c:pt idx="2">
                  <c:v>26.869793792273928</c:v>
                </c:pt>
                <c:pt idx="3">
                  <c:v>27.94067833128431</c:v>
                </c:pt>
                <c:pt idx="4">
                  <c:v>28.288623909044226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C3-4543-AAF4-907B447531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9871967"/>
        <c:axId val="779869567"/>
      </c:barChart>
      <c:catAx>
        <c:axId val="779871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79869567"/>
        <c:crosses val="autoZero"/>
        <c:auto val="1"/>
        <c:lblAlgn val="ctr"/>
        <c:lblOffset val="100"/>
        <c:noMultiLvlLbl val="0"/>
      </c:catAx>
      <c:valAx>
        <c:axId val="779869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7987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600" b="1"/>
              <a:t>SP2-50</a:t>
            </a:r>
            <a:endParaRPr lang="it-IT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CIT-CY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forward val="500"/>
            <c:backward val="50"/>
            <c:dispRSqr val="0"/>
            <c:dispEq val="0"/>
          </c:trendline>
          <c:xVal>
            <c:numRef>
              <c:f>'SHIFT-TILT FACTORS'!$G$28:$G$33</c:f>
              <c:numCache>
                <c:formatCode>0.00</c:formatCode>
                <c:ptCount val="6"/>
                <c:pt idx="0">
                  <c:v>172.86</c:v>
                </c:pt>
                <c:pt idx="1">
                  <c:v>182</c:v>
                </c:pt>
                <c:pt idx="2">
                  <c:v>81.540000000000006</c:v>
                </c:pt>
                <c:pt idx="3">
                  <c:v>95.34</c:v>
                </c:pt>
                <c:pt idx="4">
                  <c:v>62.52</c:v>
                </c:pt>
                <c:pt idx="5">
                  <c:v>57.62</c:v>
                </c:pt>
              </c:numCache>
            </c:numRef>
          </c:xVal>
          <c:yVal>
            <c:numRef>
              <c:f>'SHIFT-TILT FACTORS'!$H$28:$H$33</c:f>
              <c:numCache>
                <c:formatCode>General</c:formatCode>
                <c:ptCount val="6"/>
                <c:pt idx="0">
                  <c:v>1640</c:v>
                </c:pt>
                <c:pt idx="1">
                  <c:v>1210</c:v>
                </c:pt>
                <c:pt idx="2">
                  <c:v>28760</c:v>
                </c:pt>
                <c:pt idx="3">
                  <c:v>8600</c:v>
                </c:pt>
                <c:pt idx="4">
                  <c:v>168060</c:v>
                </c:pt>
                <c:pt idx="5">
                  <c:v>201070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BE-4DB4-B70D-D1E89CEC5BC0}"/>
            </c:ext>
          </c:extLst>
        </c:ser>
        <c:ser>
          <c:idx val="1"/>
          <c:order val="1"/>
          <c:tx>
            <c:v>4PB-STRESS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forward val="500"/>
            <c:backward val="30"/>
            <c:dispRSqr val="0"/>
            <c:dispEq val="0"/>
          </c:trendline>
          <c:xVal>
            <c:numRef>
              <c:f>'SHIFT-TILT FACTORS'!$F$61:$F$73</c:f>
              <c:numCache>
                <c:formatCode>0.000</c:formatCode>
                <c:ptCount val="13"/>
                <c:pt idx="0">
                  <c:v>205.53220000000002</c:v>
                </c:pt>
                <c:pt idx="1">
                  <c:v>206.87899999999999</c:v>
                </c:pt>
                <c:pt idx="2">
                  <c:v>200.7878</c:v>
                </c:pt>
                <c:pt idx="3">
                  <c:v>187.7346</c:v>
                </c:pt>
                <c:pt idx="4">
                  <c:v>171.62020000000001</c:v>
                </c:pt>
                <c:pt idx="5">
                  <c:v>151.19199999999998</c:v>
                </c:pt>
                <c:pt idx="6">
                  <c:v>127.48979999999999</c:v>
                </c:pt>
                <c:pt idx="7">
                  <c:v>130.32599999999996</c:v>
                </c:pt>
                <c:pt idx="8">
                  <c:v>122.68199999999999</c:v>
                </c:pt>
                <c:pt idx="9">
                  <c:v>107.2186</c:v>
                </c:pt>
                <c:pt idx="10">
                  <c:v>114.86839999999999</c:v>
                </c:pt>
                <c:pt idx="11">
                  <c:v>100.92359999999999</c:v>
                </c:pt>
                <c:pt idx="12">
                  <c:v>107.55919999999999</c:v>
                </c:pt>
              </c:numCache>
            </c:numRef>
          </c:xVal>
          <c:yVal>
            <c:numRef>
              <c:f>'SHIFT-TILT FACTORS'!$G$61:$G$73</c:f>
              <c:numCache>
                <c:formatCode>General</c:formatCode>
                <c:ptCount val="13"/>
                <c:pt idx="0">
                  <c:v>3951</c:v>
                </c:pt>
                <c:pt idx="1">
                  <c:v>4479</c:v>
                </c:pt>
                <c:pt idx="2">
                  <c:v>10392</c:v>
                </c:pt>
                <c:pt idx="3">
                  <c:v>39055</c:v>
                </c:pt>
                <c:pt idx="4">
                  <c:v>51090</c:v>
                </c:pt>
                <c:pt idx="5">
                  <c:v>67609</c:v>
                </c:pt>
                <c:pt idx="6">
                  <c:v>168526</c:v>
                </c:pt>
                <c:pt idx="7">
                  <c:v>248632</c:v>
                </c:pt>
                <c:pt idx="8">
                  <c:v>501188</c:v>
                </c:pt>
                <c:pt idx="9">
                  <c:v>560905</c:v>
                </c:pt>
                <c:pt idx="10">
                  <c:v>595339</c:v>
                </c:pt>
                <c:pt idx="11">
                  <c:v>1079776</c:v>
                </c:pt>
                <c:pt idx="12">
                  <c:v>1111394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BE-4DB4-B70D-D1E89CEC5BC0}"/>
            </c:ext>
          </c:extLst>
        </c:ser>
        <c:ser>
          <c:idx val="2"/>
          <c:order val="2"/>
          <c:tx>
            <c:v>4PB-STRAIN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forward val="500"/>
            <c:backward val="50"/>
            <c:dispRSqr val="0"/>
            <c:dispEq val="0"/>
          </c:trendline>
          <c:xVal>
            <c:numRef>
              <c:f>'SHIFT-TILT FACTORS'!$Q$60:$Q$70</c:f>
              <c:numCache>
                <c:formatCode>0</c:formatCode>
                <c:ptCount val="11"/>
                <c:pt idx="0">
                  <c:v>249.9862</c:v>
                </c:pt>
                <c:pt idx="1">
                  <c:v>224.09440000000001</c:v>
                </c:pt>
                <c:pt idx="2">
                  <c:v>248.44639999999998</c:v>
                </c:pt>
                <c:pt idx="3">
                  <c:v>240.27260000000001</c:v>
                </c:pt>
                <c:pt idx="4">
                  <c:v>250.66239999999999</c:v>
                </c:pt>
                <c:pt idx="5">
                  <c:v>226.21559999999999</c:v>
                </c:pt>
                <c:pt idx="6">
                  <c:v>199.47579999999999</c:v>
                </c:pt>
                <c:pt idx="7">
                  <c:v>198.2268</c:v>
                </c:pt>
                <c:pt idx="8">
                  <c:v>179.39119999999997</c:v>
                </c:pt>
                <c:pt idx="9">
                  <c:v>164.15940000000001</c:v>
                </c:pt>
                <c:pt idx="10">
                  <c:v>164.7946</c:v>
                </c:pt>
              </c:numCache>
            </c:numRef>
          </c:xVal>
          <c:yVal>
            <c:numRef>
              <c:f>'SHIFT-TILT FACTORS'!$R$60:$R$70</c:f>
              <c:numCache>
                <c:formatCode>General</c:formatCode>
                <c:ptCount val="11"/>
                <c:pt idx="0">
                  <c:v>10116</c:v>
                </c:pt>
                <c:pt idx="1">
                  <c:v>13183</c:v>
                </c:pt>
                <c:pt idx="2">
                  <c:v>22217</c:v>
                </c:pt>
                <c:pt idx="3">
                  <c:v>21380</c:v>
                </c:pt>
                <c:pt idx="4">
                  <c:v>22388</c:v>
                </c:pt>
                <c:pt idx="5">
                  <c:v>77924</c:v>
                </c:pt>
                <c:pt idx="6">
                  <c:v>160120</c:v>
                </c:pt>
                <c:pt idx="7">
                  <c:v>257699</c:v>
                </c:pt>
                <c:pt idx="8">
                  <c:v>363079</c:v>
                </c:pt>
                <c:pt idx="9">
                  <c:v>674356</c:v>
                </c:pt>
                <c:pt idx="10">
                  <c:v>1166295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BE-4DB4-B70D-D1E89CEC5BC0}"/>
            </c:ext>
          </c:extLst>
        </c:ser>
        <c:ser>
          <c:idx val="3"/>
          <c:order val="3"/>
          <c:tx>
            <c:v>Shifted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forward val="500"/>
            <c:backward val="100"/>
            <c:dispRSqr val="0"/>
            <c:dispEq val="0"/>
          </c:trendline>
          <c:xVal>
            <c:numRef>
              <c:f>'SHIFT-TILT FACTORS'!$AH$46:$AH$60</c:f>
              <c:numCache>
                <c:formatCode>0.00</c:formatCode>
                <c:ptCount val="15"/>
                <c:pt idx="0">
                  <c:v>199.65271535946778</c:v>
                </c:pt>
                <c:pt idx="1">
                  <c:v>181.31340534102233</c:v>
                </c:pt>
                <c:pt idx="2">
                  <c:v>171.37678038094955</c:v>
                </c:pt>
                <c:pt idx="3">
                  <c:v>164.65867192023069</c:v>
                </c:pt>
                <c:pt idx="4">
                  <c:v>159.62960111728572</c:v>
                </c:pt>
                <c:pt idx="5">
                  <c:v>155.63478608996002</c:v>
                </c:pt>
                <c:pt idx="6">
                  <c:v>152.33531469719071</c:v>
                </c:pt>
                <c:pt idx="7">
                  <c:v>149.53377654310688</c:v>
                </c:pt>
                <c:pt idx="8">
                  <c:v>147.10544157068199</c:v>
                </c:pt>
                <c:pt idx="9">
                  <c:v>144.96665632467494</c:v>
                </c:pt>
                <c:pt idx="10">
                  <c:v>143.05869033413816</c:v>
                </c:pt>
                <c:pt idx="11">
                  <c:v>141.3387892305168</c:v>
                </c:pt>
                <c:pt idx="12">
                  <c:v>139.77489899121193</c:v>
                </c:pt>
                <c:pt idx="13">
                  <c:v>138.34239425050782</c:v>
                </c:pt>
                <c:pt idx="14">
                  <c:v>137.02196358171562</c:v>
                </c:pt>
              </c:numCache>
            </c:numRef>
          </c:xVal>
          <c:yVal>
            <c:numRef>
              <c:f>'SHIFT-TILT FACTORS'!$AF$46:$AF$60</c:f>
              <c:numCache>
                <c:formatCode>General</c:formatCode>
                <c:ptCount val="15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  <c:pt idx="10">
                  <c:v>110000</c:v>
                </c:pt>
                <c:pt idx="11">
                  <c:v>120000</c:v>
                </c:pt>
                <c:pt idx="12">
                  <c:v>130000</c:v>
                </c:pt>
                <c:pt idx="13">
                  <c:v>140000</c:v>
                </c:pt>
                <c:pt idx="14">
                  <c:v>150000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3A-4347-B5C5-40D3A5C0C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931648"/>
        <c:axId val="2066919648"/>
      </c:scatterChart>
      <c:valAx>
        <c:axId val="206693164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 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6919648"/>
        <c:crossesAt val="0.1"/>
        <c:crossBetween val="midCat"/>
      </c:valAx>
      <c:valAx>
        <c:axId val="2066919648"/>
        <c:scaling>
          <c:logBase val="10"/>
          <c:orientation val="minMax"/>
          <c:max val="100000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f</a:t>
                </a:r>
                <a:r>
                  <a:rPr lang="it-IT" baseline="0"/>
                  <a:t> [-]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693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17472816374222325"/>
          <c:y val="0.42295079856717732"/>
          <c:w val="0.18066359006450705"/>
          <c:h val="0.4167942174371908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600" b="1"/>
              <a:t>SP1-50</a:t>
            </a:r>
            <a:endParaRPr lang="it-IT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CIT-CY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forward val="500"/>
            <c:backward val="50"/>
            <c:dispRSqr val="0"/>
            <c:dispEq val="0"/>
          </c:trendline>
          <c:xVal>
            <c:numRef>
              <c:f>'SHIFT-TILT FACTORS'!$G$22:$G$27</c:f>
              <c:numCache>
                <c:formatCode>0.00</c:formatCode>
                <c:ptCount val="6"/>
                <c:pt idx="0">
                  <c:v>170.22</c:v>
                </c:pt>
                <c:pt idx="1">
                  <c:v>167</c:v>
                </c:pt>
                <c:pt idx="2">
                  <c:v>91.22</c:v>
                </c:pt>
                <c:pt idx="3">
                  <c:v>78</c:v>
                </c:pt>
                <c:pt idx="4">
                  <c:v>58.64</c:v>
                </c:pt>
                <c:pt idx="5">
                  <c:v>55.96</c:v>
                </c:pt>
              </c:numCache>
            </c:numRef>
          </c:xVal>
          <c:yVal>
            <c:numRef>
              <c:f>'SHIFT-TILT FACTORS'!$H$22:$H$27</c:f>
              <c:numCache>
                <c:formatCode>General</c:formatCode>
                <c:ptCount val="6"/>
                <c:pt idx="0">
                  <c:v>2140</c:v>
                </c:pt>
                <c:pt idx="1">
                  <c:v>1610</c:v>
                </c:pt>
                <c:pt idx="2">
                  <c:v>12630</c:v>
                </c:pt>
                <c:pt idx="3">
                  <c:v>26470</c:v>
                </c:pt>
                <c:pt idx="4">
                  <c:v>141160</c:v>
                </c:pt>
                <c:pt idx="5">
                  <c:v>124170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A9-4C0E-BCA7-5010CFF50F3E}"/>
            </c:ext>
          </c:extLst>
        </c:ser>
        <c:ser>
          <c:idx val="1"/>
          <c:order val="1"/>
          <c:tx>
            <c:v>4PB-STRESS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forward val="500"/>
            <c:backward val="30"/>
            <c:dispRSqr val="0"/>
            <c:dispEq val="0"/>
          </c:trendline>
          <c:xVal>
            <c:numRef>
              <c:f>'SHIFT-TILT FACTORS'!$F$49:$F$60</c:f>
              <c:numCache>
                <c:formatCode>0.000</c:formatCode>
                <c:ptCount val="12"/>
                <c:pt idx="0">
                  <c:v>190.3888</c:v>
                </c:pt>
                <c:pt idx="1">
                  <c:v>202.5942</c:v>
                </c:pt>
                <c:pt idx="2">
                  <c:v>191.584</c:v>
                </c:pt>
                <c:pt idx="3">
                  <c:v>176</c:v>
                </c:pt>
                <c:pt idx="4">
                  <c:v>172.87979999999999</c:v>
                </c:pt>
                <c:pt idx="5">
                  <c:v>154.8176</c:v>
                </c:pt>
                <c:pt idx="6">
                  <c:v>135.8852</c:v>
                </c:pt>
                <c:pt idx="7">
                  <c:v>125.80019999999999</c:v>
                </c:pt>
                <c:pt idx="8">
                  <c:v>119.36660000000002</c:v>
                </c:pt>
                <c:pt idx="9">
                  <c:v>131.36999999999998</c:v>
                </c:pt>
                <c:pt idx="10">
                  <c:v>107.08759999999999</c:v>
                </c:pt>
                <c:pt idx="11">
                  <c:v>110.1176</c:v>
                </c:pt>
              </c:numCache>
            </c:numRef>
          </c:xVal>
          <c:yVal>
            <c:numRef>
              <c:f>'SHIFT-TILT FACTORS'!$G$49:$G$60</c:f>
              <c:numCache>
                <c:formatCode>General</c:formatCode>
                <c:ptCount val="12"/>
                <c:pt idx="0">
                  <c:v>16033</c:v>
                </c:pt>
                <c:pt idx="1">
                  <c:v>15216</c:v>
                </c:pt>
                <c:pt idx="2">
                  <c:v>21054</c:v>
                </c:pt>
                <c:pt idx="3">
                  <c:v>30000</c:v>
                </c:pt>
                <c:pt idx="4">
                  <c:v>31867</c:v>
                </c:pt>
                <c:pt idx="5">
                  <c:v>50505</c:v>
                </c:pt>
                <c:pt idx="6">
                  <c:v>143073</c:v>
                </c:pt>
                <c:pt idx="7">
                  <c:v>216549</c:v>
                </c:pt>
                <c:pt idx="8">
                  <c:v>236230</c:v>
                </c:pt>
                <c:pt idx="9">
                  <c:v>503759</c:v>
                </c:pt>
                <c:pt idx="10">
                  <c:v>677815</c:v>
                </c:pt>
                <c:pt idx="11">
                  <c:v>831764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2A9-4C0E-BCA7-5010CFF50F3E}"/>
            </c:ext>
          </c:extLst>
        </c:ser>
        <c:ser>
          <c:idx val="2"/>
          <c:order val="2"/>
          <c:tx>
            <c:v>4PB-STRAIN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forward val="500"/>
            <c:backward val="50"/>
            <c:dispRSqr val="0"/>
            <c:dispEq val="0"/>
          </c:trendline>
          <c:xVal>
            <c:numRef>
              <c:f>'SHIFT-TILT FACTORS'!$Q$49:$Q$59</c:f>
              <c:numCache>
                <c:formatCode>0</c:formatCode>
                <c:ptCount val="11"/>
                <c:pt idx="0">
                  <c:v>319.85000000000002</c:v>
                </c:pt>
                <c:pt idx="1">
                  <c:v>301.70479999999998</c:v>
                </c:pt>
                <c:pt idx="2">
                  <c:v>246.39420000000001</c:v>
                </c:pt>
                <c:pt idx="3">
                  <c:v>298.96919999999994</c:v>
                </c:pt>
                <c:pt idx="4">
                  <c:v>244.77960000000002</c:v>
                </c:pt>
                <c:pt idx="5">
                  <c:v>200.33159999999998</c:v>
                </c:pt>
                <c:pt idx="6">
                  <c:v>198.80839999999998</c:v>
                </c:pt>
                <c:pt idx="7">
                  <c:v>145.47120000000001</c:v>
                </c:pt>
                <c:pt idx="8">
                  <c:v>149.971</c:v>
                </c:pt>
                <c:pt idx="9">
                  <c:v>159.4348</c:v>
                </c:pt>
                <c:pt idx="10">
                  <c:v>144.91720000000001</c:v>
                </c:pt>
              </c:numCache>
            </c:numRef>
          </c:xVal>
          <c:yVal>
            <c:numRef>
              <c:f>'SHIFT-TILT FACTORS'!$R$49:$R$59</c:f>
              <c:numCache>
                <c:formatCode>General</c:formatCode>
                <c:ptCount val="11"/>
                <c:pt idx="0">
                  <c:v>8644</c:v>
                </c:pt>
                <c:pt idx="1">
                  <c:v>14018</c:v>
                </c:pt>
                <c:pt idx="2">
                  <c:v>18765</c:v>
                </c:pt>
                <c:pt idx="3">
                  <c:v>24548</c:v>
                </c:pt>
                <c:pt idx="4">
                  <c:v>74703</c:v>
                </c:pt>
                <c:pt idx="5">
                  <c:v>123343</c:v>
                </c:pt>
                <c:pt idx="6">
                  <c:v>232631</c:v>
                </c:pt>
                <c:pt idx="7">
                  <c:v>291370</c:v>
                </c:pt>
                <c:pt idx="8">
                  <c:v>348516</c:v>
                </c:pt>
                <c:pt idx="9">
                  <c:v>471339</c:v>
                </c:pt>
                <c:pt idx="10">
                  <c:v>3384873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2A9-4C0E-BCA7-5010CFF50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931648"/>
        <c:axId val="2066919648"/>
      </c:scatterChart>
      <c:valAx>
        <c:axId val="206693164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 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6919648"/>
        <c:crossesAt val="0.1"/>
        <c:crossBetween val="midCat"/>
      </c:valAx>
      <c:valAx>
        <c:axId val="2066919648"/>
        <c:scaling>
          <c:logBase val="10"/>
          <c:orientation val="minMax"/>
          <c:max val="100000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f</a:t>
                </a:r>
                <a:r>
                  <a:rPr lang="it-IT" baseline="0"/>
                  <a:t> [-]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693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5225626577475049"/>
          <c:y val="0.38029866903537141"/>
          <c:w val="0.19276850123779768"/>
          <c:h val="0.447687066159316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600" b="1"/>
              <a:t>PMB-50</a:t>
            </a:r>
            <a:endParaRPr lang="it-IT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CIT-CY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forward val="500"/>
            <c:backward val="50"/>
            <c:dispRSqr val="0"/>
            <c:dispEq val="0"/>
          </c:trendline>
          <c:xVal>
            <c:numRef>
              <c:f>'SHIFT-TILT FACTORS'!$G$34:$G$39</c:f>
              <c:numCache>
                <c:formatCode>0.00</c:formatCode>
                <c:ptCount val="6"/>
                <c:pt idx="0">
                  <c:v>169.54</c:v>
                </c:pt>
                <c:pt idx="1">
                  <c:v>194.96</c:v>
                </c:pt>
                <c:pt idx="2">
                  <c:v>90.2</c:v>
                </c:pt>
                <c:pt idx="3">
                  <c:v>84</c:v>
                </c:pt>
                <c:pt idx="4">
                  <c:v>55.94</c:v>
                </c:pt>
                <c:pt idx="5">
                  <c:v>62.14</c:v>
                </c:pt>
              </c:numCache>
            </c:numRef>
          </c:xVal>
          <c:yVal>
            <c:numRef>
              <c:f>'SHIFT-TILT FACTORS'!$H$34:$H$39</c:f>
              <c:numCache>
                <c:formatCode>General</c:formatCode>
                <c:ptCount val="6"/>
                <c:pt idx="0">
                  <c:v>2180</c:v>
                </c:pt>
                <c:pt idx="1">
                  <c:v>1440</c:v>
                </c:pt>
                <c:pt idx="2">
                  <c:v>22280</c:v>
                </c:pt>
                <c:pt idx="3">
                  <c:v>17960</c:v>
                </c:pt>
                <c:pt idx="4">
                  <c:v>173670</c:v>
                </c:pt>
                <c:pt idx="5">
                  <c:v>183800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91-4E70-A65A-505BA1A84734}"/>
            </c:ext>
          </c:extLst>
        </c:ser>
        <c:ser>
          <c:idx val="1"/>
          <c:order val="1"/>
          <c:tx>
            <c:v>4PB-STRESS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forward val="500"/>
            <c:backward val="30"/>
            <c:dispRSqr val="0"/>
            <c:dispEq val="0"/>
          </c:trendline>
          <c:xVal>
            <c:numRef>
              <c:f>'SHIFT-TILT FACTORS'!$F$74:$F$86</c:f>
              <c:numCache>
                <c:formatCode>0.000</c:formatCode>
                <c:ptCount val="13"/>
                <c:pt idx="0">
                  <c:v>215.63380000000001</c:v>
                </c:pt>
                <c:pt idx="1">
                  <c:v>191.69319999999999</c:v>
                </c:pt>
                <c:pt idx="2">
                  <c:v>184.73140000000001</c:v>
                </c:pt>
                <c:pt idx="3">
                  <c:v>153.29660000000001</c:v>
                </c:pt>
                <c:pt idx="4">
                  <c:v>180.72080000000003</c:v>
                </c:pt>
                <c:pt idx="5">
                  <c:v>174.01839999999999</c:v>
                </c:pt>
                <c:pt idx="6">
                  <c:v>121.3982</c:v>
                </c:pt>
                <c:pt idx="7">
                  <c:v>128.30940000000001</c:v>
                </c:pt>
                <c:pt idx="8">
                  <c:v>129.57679999999999</c:v>
                </c:pt>
                <c:pt idx="9">
                  <c:v>115.26179999999999</c:v>
                </c:pt>
                <c:pt idx="10">
                  <c:v>99.878999999999991</c:v>
                </c:pt>
                <c:pt idx="11">
                  <c:v>117.949</c:v>
                </c:pt>
                <c:pt idx="12">
                  <c:v>99.012</c:v>
                </c:pt>
              </c:numCache>
            </c:numRef>
          </c:xVal>
          <c:yVal>
            <c:numRef>
              <c:f>'SHIFT-TILT FACTORS'!$G$74:$G$86</c:f>
              <c:numCache>
                <c:formatCode>General</c:formatCode>
                <c:ptCount val="13"/>
                <c:pt idx="0">
                  <c:v>8577</c:v>
                </c:pt>
                <c:pt idx="1">
                  <c:v>25216</c:v>
                </c:pt>
                <c:pt idx="2">
                  <c:v>30316</c:v>
                </c:pt>
                <c:pt idx="3">
                  <c:v>39659</c:v>
                </c:pt>
                <c:pt idx="4">
                  <c:v>43820</c:v>
                </c:pt>
                <c:pt idx="5">
                  <c:v>64566</c:v>
                </c:pt>
                <c:pt idx="6">
                  <c:v>281119</c:v>
                </c:pt>
                <c:pt idx="7">
                  <c:v>491034</c:v>
                </c:pt>
                <c:pt idx="8">
                  <c:v>640718</c:v>
                </c:pt>
                <c:pt idx="9">
                  <c:v>774264</c:v>
                </c:pt>
                <c:pt idx="10">
                  <c:v>780737</c:v>
                </c:pt>
                <c:pt idx="11">
                  <c:v>1819163</c:v>
                </c:pt>
                <c:pt idx="12">
                  <c:v>2782560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591-4E70-A65A-505BA1A84734}"/>
            </c:ext>
          </c:extLst>
        </c:ser>
        <c:ser>
          <c:idx val="2"/>
          <c:order val="2"/>
          <c:tx>
            <c:v>4PB-STRAIN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forward val="500"/>
            <c:backward val="50"/>
            <c:dispRSqr val="0"/>
            <c:dispEq val="0"/>
          </c:trendline>
          <c:xVal>
            <c:numRef>
              <c:f>'SHIFT-TILT FACTORS'!$Q$71:$Q$83</c:f>
              <c:numCache>
                <c:formatCode>0</c:formatCode>
                <c:ptCount val="13"/>
                <c:pt idx="0">
                  <c:v>320.05119999999999</c:v>
                </c:pt>
                <c:pt idx="1">
                  <c:v>318.29080000000005</c:v>
                </c:pt>
                <c:pt idx="2">
                  <c:v>321.07579999999996</c:v>
                </c:pt>
                <c:pt idx="3">
                  <c:v>321.0478</c:v>
                </c:pt>
                <c:pt idx="4">
                  <c:v>259.68739999999997</c:v>
                </c:pt>
                <c:pt idx="5">
                  <c:v>199.73060000000001</c:v>
                </c:pt>
                <c:pt idx="6">
                  <c:v>249.9308</c:v>
                </c:pt>
                <c:pt idx="7">
                  <c:v>200.04640000000001</c:v>
                </c:pt>
                <c:pt idx="8">
                  <c:v>149.61580000000001</c:v>
                </c:pt>
                <c:pt idx="9">
                  <c:v>199.84280000000001</c:v>
                </c:pt>
                <c:pt idx="10">
                  <c:v>158.74160000000001</c:v>
                </c:pt>
                <c:pt idx="11">
                  <c:v>149.19720000000001</c:v>
                </c:pt>
                <c:pt idx="12">
                  <c:v>164.37460000000002</c:v>
                </c:pt>
              </c:numCache>
            </c:numRef>
          </c:xVal>
          <c:yVal>
            <c:numRef>
              <c:f>'SHIFT-TILT FACTORS'!$R$71:$R$83</c:f>
              <c:numCache>
                <c:formatCode>General</c:formatCode>
                <c:ptCount val="13"/>
                <c:pt idx="0">
                  <c:v>7026</c:v>
                </c:pt>
                <c:pt idx="1">
                  <c:v>10039</c:v>
                </c:pt>
                <c:pt idx="2">
                  <c:v>15370</c:v>
                </c:pt>
                <c:pt idx="3">
                  <c:v>17246</c:v>
                </c:pt>
                <c:pt idx="4">
                  <c:v>9028</c:v>
                </c:pt>
                <c:pt idx="5">
                  <c:v>95134</c:v>
                </c:pt>
                <c:pt idx="6">
                  <c:v>115997</c:v>
                </c:pt>
                <c:pt idx="7">
                  <c:v>231444</c:v>
                </c:pt>
                <c:pt idx="8">
                  <c:v>441650</c:v>
                </c:pt>
                <c:pt idx="9">
                  <c:v>724436</c:v>
                </c:pt>
                <c:pt idx="10">
                  <c:v>1812731</c:v>
                </c:pt>
                <c:pt idx="11">
                  <c:v>1932463</c:v>
                </c:pt>
                <c:pt idx="12">
                  <c:v>2033918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591-4E70-A65A-505BA1A84734}"/>
            </c:ext>
          </c:extLst>
        </c:ser>
        <c:ser>
          <c:idx val="3"/>
          <c:order val="3"/>
          <c:tx>
            <c:v>PMB-50 IT-CY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forward val="500"/>
            <c:backward val="100"/>
            <c:dispRSqr val="0"/>
            <c:dispEq val="0"/>
          </c:trendline>
          <c:xVal>
            <c:numRef>
              <c:f>'SHIFT-TILT FACTORS'!$AJ$3:$AJ$7</c:f>
              <c:numCache>
                <c:formatCode>General</c:formatCode>
                <c:ptCount val="5"/>
                <c:pt idx="0">
                  <c:v>301.29716656169524</c:v>
                </c:pt>
                <c:pt idx="1">
                  <c:v>120.24127946465353</c:v>
                </c:pt>
                <c:pt idx="2">
                  <c:v>82.420277446649095</c:v>
                </c:pt>
                <c:pt idx="3">
                  <c:v>98.727658266813009</c:v>
                </c:pt>
                <c:pt idx="4">
                  <c:v>191.08899818587605</c:v>
                </c:pt>
              </c:numCache>
            </c:numRef>
          </c:xVal>
          <c:yVal>
            <c:numRef>
              <c:f>'SHIFT-TILT FACTORS'!$AK$3:$AK$7</c:f>
              <c:numCache>
                <c:formatCode>General</c:formatCode>
                <c:ptCount val="5"/>
                <c:pt idx="0">
                  <c:v>1307</c:v>
                </c:pt>
                <c:pt idx="1">
                  <c:v>11929</c:v>
                </c:pt>
                <c:pt idx="2">
                  <c:v>106877</c:v>
                </c:pt>
                <c:pt idx="3">
                  <c:v>33112</c:v>
                </c:pt>
                <c:pt idx="4">
                  <c:v>5452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F97-4929-B22E-7C2A4A9F7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931648"/>
        <c:axId val="2066919648"/>
      </c:scatterChart>
      <c:valAx>
        <c:axId val="206693164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 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6919648"/>
        <c:crossesAt val="0.1"/>
        <c:crossBetween val="midCat"/>
      </c:valAx>
      <c:valAx>
        <c:axId val="2066919648"/>
        <c:scaling>
          <c:logBase val="10"/>
          <c:orientation val="minMax"/>
          <c:max val="100000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f</a:t>
                </a:r>
                <a:r>
                  <a:rPr lang="it-IT" baseline="0"/>
                  <a:t> [-]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693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14115741938004064"/>
          <c:y val="0.38029868467286926"/>
          <c:w val="0.21491249518504338"/>
          <c:h val="0.4748690899361694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1"/>
              <a:t>CIT-CY</a:t>
            </a:r>
            <a:r>
              <a:rPr lang="it-IT" sz="1400" b="1" baseline="0"/>
              <a:t> vs </a:t>
            </a:r>
            <a:r>
              <a:rPr lang="it-IT" sz="1400" b="1"/>
              <a:t>4PB-STRAIN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SP2-50 CIT-CY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forward val="500"/>
            <c:backward val="100"/>
            <c:dispRSqr val="0"/>
            <c:dispEq val="0"/>
          </c:trendline>
          <c:xVal>
            <c:numRef>
              <c:f>'SHIFT-TILT FACTORS'!$G$28:$G$33</c:f>
              <c:numCache>
                <c:formatCode>0.00</c:formatCode>
                <c:ptCount val="6"/>
                <c:pt idx="0">
                  <c:v>172.86</c:v>
                </c:pt>
                <c:pt idx="1">
                  <c:v>182</c:v>
                </c:pt>
                <c:pt idx="2">
                  <c:v>81.540000000000006</c:v>
                </c:pt>
                <c:pt idx="3">
                  <c:v>95.34</c:v>
                </c:pt>
                <c:pt idx="4">
                  <c:v>62.52</c:v>
                </c:pt>
                <c:pt idx="5">
                  <c:v>57.62</c:v>
                </c:pt>
              </c:numCache>
            </c:numRef>
          </c:xVal>
          <c:yVal>
            <c:numRef>
              <c:f>'SHIFT-TILT FACTORS'!$H$28:$H$33</c:f>
              <c:numCache>
                <c:formatCode>General</c:formatCode>
                <c:ptCount val="6"/>
                <c:pt idx="0">
                  <c:v>1640</c:v>
                </c:pt>
                <c:pt idx="1">
                  <c:v>1210</c:v>
                </c:pt>
                <c:pt idx="2">
                  <c:v>28760</c:v>
                </c:pt>
                <c:pt idx="3">
                  <c:v>8600</c:v>
                </c:pt>
                <c:pt idx="4">
                  <c:v>168060</c:v>
                </c:pt>
                <c:pt idx="5">
                  <c:v>201070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446-456A-88AD-7B01861C8C8C}"/>
            </c:ext>
          </c:extLst>
        </c:ser>
        <c:ser>
          <c:idx val="3"/>
          <c:order val="1"/>
          <c:tx>
            <c:v>PMB-50 CIT-CY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forward val="500"/>
            <c:backward val="100"/>
            <c:dispRSqr val="0"/>
            <c:dispEq val="0"/>
          </c:trendline>
          <c:xVal>
            <c:numRef>
              <c:f>'SHIFT-TILT FACTORS'!$G$34:$G$39</c:f>
              <c:numCache>
                <c:formatCode>0.00</c:formatCode>
                <c:ptCount val="6"/>
                <c:pt idx="0">
                  <c:v>169.54</c:v>
                </c:pt>
                <c:pt idx="1">
                  <c:v>194.96</c:v>
                </c:pt>
                <c:pt idx="2">
                  <c:v>90.2</c:v>
                </c:pt>
                <c:pt idx="3">
                  <c:v>84</c:v>
                </c:pt>
                <c:pt idx="4">
                  <c:v>55.94</c:v>
                </c:pt>
                <c:pt idx="5">
                  <c:v>62.14</c:v>
                </c:pt>
              </c:numCache>
            </c:numRef>
          </c:xVal>
          <c:yVal>
            <c:numRef>
              <c:f>'SHIFT-TILT FACTORS'!$H$34:$H$39</c:f>
              <c:numCache>
                <c:formatCode>General</c:formatCode>
                <c:ptCount val="6"/>
                <c:pt idx="0">
                  <c:v>2180</c:v>
                </c:pt>
                <c:pt idx="1">
                  <c:v>1440</c:v>
                </c:pt>
                <c:pt idx="2">
                  <c:v>22280</c:v>
                </c:pt>
                <c:pt idx="3">
                  <c:v>17960</c:v>
                </c:pt>
                <c:pt idx="4">
                  <c:v>173670</c:v>
                </c:pt>
                <c:pt idx="5">
                  <c:v>183800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446-456A-88AD-7B01861C8C8C}"/>
            </c:ext>
          </c:extLst>
        </c:ser>
        <c:ser>
          <c:idx val="4"/>
          <c:order val="2"/>
          <c:tx>
            <c:v>SP1-50 CIT-CY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wer"/>
            <c:forward val="500"/>
            <c:backward val="100"/>
            <c:dispRSqr val="0"/>
            <c:dispEq val="0"/>
          </c:trendline>
          <c:xVal>
            <c:numRef>
              <c:f>'SHIFT-TILT FACTORS'!$G$22:$G$27</c:f>
              <c:numCache>
                <c:formatCode>0.00</c:formatCode>
                <c:ptCount val="6"/>
                <c:pt idx="0">
                  <c:v>170.22</c:v>
                </c:pt>
                <c:pt idx="1">
                  <c:v>167</c:v>
                </c:pt>
                <c:pt idx="2">
                  <c:v>91.22</c:v>
                </c:pt>
                <c:pt idx="3">
                  <c:v>78</c:v>
                </c:pt>
                <c:pt idx="4">
                  <c:v>58.64</c:v>
                </c:pt>
                <c:pt idx="5">
                  <c:v>55.96</c:v>
                </c:pt>
              </c:numCache>
            </c:numRef>
          </c:xVal>
          <c:yVal>
            <c:numRef>
              <c:f>'SHIFT-TILT FACTORS'!$H$22:$H$27</c:f>
              <c:numCache>
                <c:formatCode>General</c:formatCode>
                <c:ptCount val="6"/>
                <c:pt idx="0">
                  <c:v>2140</c:v>
                </c:pt>
                <c:pt idx="1">
                  <c:v>1610</c:v>
                </c:pt>
                <c:pt idx="2">
                  <c:v>12630</c:v>
                </c:pt>
                <c:pt idx="3">
                  <c:v>26470</c:v>
                </c:pt>
                <c:pt idx="4">
                  <c:v>141160</c:v>
                </c:pt>
                <c:pt idx="5">
                  <c:v>124170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437-41FD-B348-D73E2CC58395}"/>
            </c:ext>
          </c:extLst>
        </c:ser>
        <c:ser>
          <c:idx val="0"/>
          <c:order val="3"/>
          <c:tx>
            <c:v>SP2-50 4PB STRAIN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forward val="500"/>
            <c:backward val="50"/>
            <c:dispRSqr val="0"/>
            <c:dispEq val="0"/>
          </c:trendline>
          <c:xVal>
            <c:numRef>
              <c:f>'SHIFT-TILT FACTORS'!$Q$60:$Q$70</c:f>
              <c:numCache>
                <c:formatCode>0</c:formatCode>
                <c:ptCount val="11"/>
                <c:pt idx="0">
                  <c:v>249.9862</c:v>
                </c:pt>
                <c:pt idx="1">
                  <c:v>224.09440000000001</c:v>
                </c:pt>
                <c:pt idx="2">
                  <c:v>248.44639999999998</c:v>
                </c:pt>
                <c:pt idx="3">
                  <c:v>240.27260000000001</c:v>
                </c:pt>
                <c:pt idx="4">
                  <c:v>250.66239999999999</c:v>
                </c:pt>
                <c:pt idx="5">
                  <c:v>226.21559999999999</c:v>
                </c:pt>
                <c:pt idx="6">
                  <c:v>199.47579999999999</c:v>
                </c:pt>
                <c:pt idx="7">
                  <c:v>198.2268</c:v>
                </c:pt>
                <c:pt idx="8">
                  <c:v>179.39119999999997</c:v>
                </c:pt>
                <c:pt idx="9">
                  <c:v>164.15940000000001</c:v>
                </c:pt>
                <c:pt idx="10">
                  <c:v>164.7946</c:v>
                </c:pt>
              </c:numCache>
            </c:numRef>
          </c:xVal>
          <c:yVal>
            <c:numRef>
              <c:f>'SHIFT-TILT FACTORS'!$R$60:$R$70</c:f>
              <c:numCache>
                <c:formatCode>General</c:formatCode>
                <c:ptCount val="11"/>
                <c:pt idx="0">
                  <c:v>10116</c:v>
                </c:pt>
                <c:pt idx="1">
                  <c:v>13183</c:v>
                </c:pt>
                <c:pt idx="2">
                  <c:v>22217</c:v>
                </c:pt>
                <c:pt idx="3">
                  <c:v>21380</c:v>
                </c:pt>
                <c:pt idx="4">
                  <c:v>22388</c:v>
                </c:pt>
                <c:pt idx="5">
                  <c:v>77924</c:v>
                </c:pt>
                <c:pt idx="6">
                  <c:v>160120</c:v>
                </c:pt>
                <c:pt idx="7">
                  <c:v>257699</c:v>
                </c:pt>
                <c:pt idx="8">
                  <c:v>363079</c:v>
                </c:pt>
                <c:pt idx="9">
                  <c:v>674356</c:v>
                </c:pt>
                <c:pt idx="10">
                  <c:v>1166295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46-456A-88AD-7B01861C8C8C}"/>
            </c:ext>
          </c:extLst>
        </c:ser>
        <c:ser>
          <c:idx val="2"/>
          <c:order val="4"/>
          <c:tx>
            <c:v>PMB-50 4PB STRAIN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forward val="500"/>
            <c:backward val="50"/>
            <c:dispRSqr val="0"/>
            <c:dispEq val="0"/>
          </c:trendline>
          <c:xVal>
            <c:numRef>
              <c:f>'SHIFT-TILT FACTORS'!$Q$71:$Q$83</c:f>
              <c:numCache>
                <c:formatCode>0</c:formatCode>
                <c:ptCount val="13"/>
                <c:pt idx="0">
                  <c:v>320.05119999999999</c:v>
                </c:pt>
                <c:pt idx="1">
                  <c:v>318.29080000000005</c:v>
                </c:pt>
                <c:pt idx="2">
                  <c:v>321.07579999999996</c:v>
                </c:pt>
                <c:pt idx="3">
                  <c:v>321.0478</c:v>
                </c:pt>
                <c:pt idx="4">
                  <c:v>259.68739999999997</c:v>
                </c:pt>
                <c:pt idx="5">
                  <c:v>199.73060000000001</c:v>
                </c:pt>
                <c:pt idx="6">
                  <c:v>249.9308</c:v>
                </c:pt>
                <c:pt idx="7">
                  <c:v>200.04640000000001</c:v>
                </c:pt>
                <c:pt idx="8">
                  <c:v>149.61580000000001</c:v>
                </c:pt>
                <c:pt idx="9">
                  <c:v>199.84280000000001</c:v>
                </c:pt>
                <c:pt idx="10">
                  <c:v>158.74160000000001</c:v>
                </c:pt>
                <c:pt idx="11">
                  <c:v>149.19720000000001</c:v>
                </c:pt>
                <c:pt idx="12">
                  <c:v>164.37460000000002</c:v>
                </c:pt>
              </c:numCache>
            </c:numRef>
          </c:xVal>
          <c:yVal>
            <c:numRef>
              <c:f>'SHIFT-TILT FACTORS'!$R$71:$R$83</c:f>
              <c:numCache>
                <c:formatCode>General</c:formatCode>
                <c:ptCount val="13"/>
                <c:pt idx="0">
                  <c:v>7026</c:v>
                </c:pt>
                <c:pt idx="1">
                  <c:v>10039</c:v>
                </c:pt>
                <c:pt idx="2">
                  <c:v>15370</c:v>
                </c:pt>
                <c:pt idx="3">
                  <c:v>17246</c:v>
                </c:pt>
                <c:pt idx="4">
                  <c:v>9028</c:v>
                </c:pt>
                <c:pt idx="5">
                  <c:v>95134</c:v>
                </c:pt>
                <c:pt idx="6">
                  <c:v>115997</c:v>
                </c:pt>
                <c:pt idx="7">
                  <c:v>231444</c:v>
                </c:pt>
                <c:pt idx="8">
                  <c:v>441650</c:v>
                </c:pt>
                <c:pt idx="9">
                  <c:v>724436</c:v>
                </c:pt>
                <c:pt idx="10">
                  <c:v>1812731</c:v>
                </c:pt>
                <c:pt idx="11">
                  <c:v>1932463</c:v>
                </c:pt>
                <c:pt idx="12">
                  <c:v>2033918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46-456A-88AD-7B01861C8C8C}"/>
            </c:ext>
          </c:extLst>
        </c:ser>
        <c:ser>
          <c:idx val="5"/>
          <c:order val="5"/>
          <c:tx>
            <c:v>SP1-50 4PB STRAIN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power"/>
            <c:forward val="500"/>
            <c:backward val="100"/>
            <c:dispRSqr val="0"/>
            <c:dispEq val="0"/>
          </c:trendline>
          <c:xVal>
            <c:numRef>
              <c:f>'SHIFT-TILT FACTORS'!$Q$49:$Q$59</c:f>
              <c:numCache>
                <c:formatCode>0</c:formatCode>
                <c:ptCount val="11"/>
                <c:pt idx="0">
                  <c:v>319.85000000000002</c:v>
                </c:pt>
                <c:pt idx="1">
                  <c:v>301.70479999999998</c:v>
                </c:pt>
                <c:pt idx="2">
                  <c:v>246.39420000000001</c:v>
                </c:pt>
                <c:pt idx="3">
                  <c:v>298.96919999999994</c:v>
                </c:pt>
                <c:pt idx="4">
                  <c:v>244.77960000000002</c:v>
                </c:pt>
                <c:pt idx="5">
                  <c:v>200.33159999999998</c:v>
                </c:pt>
                <c:pt idx="6">
                  <c:v>198.80839999999998</c:v>
                </c:pt>
                <c:pt idx="7">
                  <c:v>145.47120000000001</c:v>
                </c:pt>
                <c:pt idx="8">
                  <c:v>149.971</c:v>
                </c:pt>
                <c:pt idx="9">
                  <c:v>159.4348</c:v>
                </c:pt>
                <c:pt idx="10">
                  <c:v>144.91720000000001</c:v>
                </c:pt>
              </c:numCache>
            </c:numRef>
          </c:xVal>
          <c:yVal>
            <c:numRef>
              <c:f>'SHIFT-TILT FACTORS'!$R$49:$R$59</c:f>
              <c:numCache>
                <c:formatCode>General</c:formatCode>
                <c:ptCount val="11"/>
                <c:pt idx="0">
                  <c:v>8644</c:v>
                </c:pt>
                <c:pt idx="1">
                  <c:v>14018</c:v>
                </c:pt>
                <c:pt idx="2">
                  <c:v>18765</c:v>
                </c:pt>
                <c:pt idx="3">
                  <c:v>24548</c:v>
                </c:pt>
                <c:pt idx="4">
                  <c:v>74703</c:v>
                </c:pt>
                <c:pt idx="5">
                  <c:v>123343</c:v>
                </c:pt>
                <c:pt idx="6">
                  <c:v>232631</c:v>
                </c:pt>
                <c:pt idx="7">
                  <c:v>291370</c:v>
                </c:pt>
                <c:pt idx="8">
                  <c:v>348516</c:v>
                </c:pt>
                <c:pt idx="9">
                  <c:v>471339</c:v>
                </c:pt>
                <c:pt idx="10">
                  <c:v>3384873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437-41FD-B348-D73E2CC58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931648"/>
        <c:axId val="2066919648"/>
      </c:scatterChart>
      <c:valAx>
        <c:axId val="206693164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 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6919648"/>
        <c:crossesAt val="0.1"/>
        <c:crossBetween val="midCat"/>
      </c:valAx>
      <c:valAx>
        <c:axId val="2066919648"/>
        <c:scaling>
          <c:logBase val="10"/>
          <c:orientation val="minMax"/>
          <c:max val="1000000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f</a:t>
                </a:r>
                <a:r>
                  <a:rPr lang="it-IT" baseline="0"/>
                  <a:t> [-]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693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5024311131178089"/>
          <c:y val="0.39372349787757799"/>
          <c:w val="0.23037525799880079"/>
          <c:h val="0.431083079913312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1"/>
              <a:t>CIT-CY</a:t>
            </a:r>
            <a:r>
              <a:rPr lang="it-IT" sz="1400" b="1" baseline="0"/>
              <a:t> vs </a:t>
            </a:r>
            <a:r>
              <a:rPr lang="it-IT" sz="1400" b="1"/>
              <a:t>4PB-STRESS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SP2-50 CIT-CY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forward val="500"/>
            <c:backward val="100"/>
            <c:dispRSqr val="0"/>
            <c:dispEq val="0"/>
          </c:trendline>
          <c:xVal>
            <c:numRef>
              <c:f>'SHIFT-TILT FACTORS'!$G$28:$G$33</c:f>
              <c:numCache>
                <c:formatCode>0.00</c:formatCode>
                <c:ptCount val="6"/>
                <c:pt idx="0">
                  <c:v>172.86</c:v>
                </c:pt>
                <c:pt idx="1">
                  <c:v>182</c:v>
                </c:pt>
                <c:pt idx="2">
                  <c:v>81.540000000000006</c:v>
                </c:pt>
                <c:pt idx="3">
                  <c:v>95.34</c:v>
                </c:pt>
                <c:pt idx="4">
                  <c:v>62.52</c:v>
                </c:pt>
                <c:pt idx="5">
                  <c:v>57.62</c:v>
                </c:pt>
              </c:numCache>
            </c:numRef>
          </c:xVal>
          <c:yVal>
            <c:numRef>
              <c:f>'SHIFT-TILT FACTORS'!$H$28:$H$33</c:f>
              <c:numCache>
                <c:formatCode>General</c:formatCode>
                <c:ptCount val="6"/>
                <c:pt idx="0">
                  <c:v>1640</c:v>
                </c:pt>
                <c:pt idx="1">
                  <c:v>1210</c:v>
                </c:pt>
                <c:pt idx="2">
                  <c:v>28760</c:v>
                </c:pt>
                <c:pt idx="3">
                  <c:v>8600</c:v>
                </c:pt>
                <c:pt idx="4">
                  <c:v>168060</c:v>
                </c:pt>
                <c:pt idx="5">
                  <c:v>201070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7E5-40C2-9211-0B6A1EB7B184}"/>
            </c:ext>
          </c:extLst>
        </c:ser>
        <c:ser>
          <c:idx val="3"/>
          <c:order val="1"/>
          <c:tx>
            <c:v>PMB-50 CIT-CY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forward val="500"/>
            <c:backward val="100"/>
            <c:dispRSqr val="0"/>
            <c:dispEq val="0"/>
          </c:trendline>
          <c:xVal>
            <c:numRef>
              <c:f>'SHIFT-TILT FACTORS'!$G$34:$G$39</c:f>
              <c:numCache>
                <c:formatCode>0.00</c:formatCode>
                <c:ptCount val="6"/>
                <c:pt idx="0">
                  <c:v>169.54</c:v>
                </c:pt>
                <c:pt idx="1">
                  <c:v>194.96</c:v>
                </c:pt>
                <c:pt idx="2">
                  <c:v>90.2</c:v>
                </c:pt>
                <c:pt idx="3">
                  <c:v>84</c:v>
                </c:pt>
                <c:pt idx="4">
                  <c:v>55.94</c:v>
                </c:pt>
                <c:pt idx="5">
                  <c:v>62.14</c:v>
                </c:pt>
              </c:numCache>
            </c:numRef>
          </c:xVal>
          <c:yVal>
            <c:numRef>
              <c:f>'SHIFT-TILT FACTORS'!$H$34:$H$39</c:f>
              <c:numCache>
                <c:formatCode>General</c:formatCode>
                <c:ptCount val="6"/>
                <c:pt idx="0">
                  <c:v>2180</c:v>
                </c:pt>
                <c:pt idx="1">
                  <c:v>1440</c:v>
                </c:pt>
                <c:pt idx="2">
                  <c:v>22280</c:v>
                </c:pt>
                <c:pt idx="3">
                  <c:v>17960</c:v>
                </c:pt>
                <c:pt idx="4">
                  <c:v>173670</c:v>
                </c:pt>
                <c:pt idx="5">
                  <c:v>183800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7E5-40C2-9211-0B6A1EB7B184}"/>
            </c:ext>
          </c:extLst>
        </c:ser>
        <c:ser>
          <c:idx val="4"/>
          <c:order val="2"/>
          <c:tx>
            <c:v>SP1-50 CIT-CY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wer"/>
            <c:forward val="500"/>
            <c:backward val="100"/>
            <c:dispRSqr val="0"/>
            <c:dispEq val="0"/>
          </c:trendline>
          <c:xVal>
            <c:numRef>
              <c:f>'SHIFT-TILT FACTORS'!$G$22:$G$27</c:f>
              <c:numCache>
                <c:formatCode>0.00</c:formatCode>
                <c:ptCount val="6"/>
                <c:pt idx="0">
                  <c:v>170.22</c:v>
                </c:pt>
                <c:pt idx="1">
                  <c:v>167</c:v>
                </c:pt>
                <c:pt idx="2">
                  <c:v>91.22</c:v>
                </c:pt>
                <c:pt idx="3">
                  <c:v>78</c:v>
                </c:pt>
                <c:pt idx="4">
                  <c:v>58.64</c:v>
                </c:pt>
                <c:pt idx="5">
                  <c:v>55.96</c:v>
                </c:pt>
              </c:numCache>
            </c:numRef>
          </c:xVal>
          <c:yVal>
            <c:numRef>
              <c:f>'SHIFT-TILT FACTORS'!$H$22:$H$27</c:f>
              <c:numCache>
                <c:formatCode>General</c:formatCode>
                <c:ptCount val="6"/>
                <c:pt idx="0">
                  <c:v>2140</c:v>
                </c:pt>
                <c:pt idx="1">
                  <c:v>1610</c:v>
                </c:pt>
                <c:pt idx="2">
                  <c:v>12630</c:v>
                </c:pt>
                <c:pt idx="3">
                  <c:v>26470</c:v>
                </c:pt>
                <c:pt idx="4">
                  <c:v>141160</c:v>
                </c:pt>
                <c:pt idx="5">
                  <c:v>124170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7E5-40C2-9211-0B6A1EB7B184}"/>
            </c:ext>
          </c:extLst>
        </c:ser>
        <c:ser>
          <c:idx val="0"/>
          <c:order val="3"/>
          <c:tx>
            <c:v>SP2-50 4PB STRESS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forward val="500"/>
            <c:backward val="50"/>
            <c:dispRSqr val="0"/>
            <c:dispEq val="0"/>
          </c:trendline>
          <c:xVal>
            <c:numRef>
              <c:f>'SHIFT-TILT FACTORS'!$F$61:$F$73</c:f>
              <c:numCache>
                <c:formatCode>0.000</c:formatCode>
                <c:ptCount val="13"/>
                <c:pt idx="0">
                  <c:v>205.53220000000002</c:v>
                </c:pt>
                <c:pt idx="1">
                  <c:v>206.87899999999999</c:v>
                </c:pt>
                <c:pt idx="2">
                  <c:v>200.7878</c:v>
                </c:pt>
                <c:pt idx="3">
                  <c:v>187.7346</c:v>
                </c:pt>
                <c:pt idx="4">
                  <c:v>171.62020000000001</c:v>
                </c:pt>
                <c:pt idx="5">
                  <c:v>151.19199999999998</c:v>
                </c:pt>
                <c:pt idx="6">
                  <c:v>127.48979999999999</c:v>
                </c:pt>
                <c:pt idx="7">
                  <c:v>130.32599999999996</c:v>
                </c:pt>
                <c:pt idx="8">
                  <c:v>122.68199999999999</c:v>
                </c:pt>
                <c:pt idx="9">
                  <c:v>107.2186</c:v>
                </c:pt>
                <c:pt idx="10">
                  <c:v>114.86839999999999</c:v>
                </c:pt>
                <c:pt idx="11">
                  <c:v>100.92359999999999</c:v>
                </c:pt>
                <c:pt idx="12">
                  <c:v>107.55919999999999</c:v>
                </c:pt>
              </c:numCache>
            </c:numRef>
          </c:xVal>
          <c:yVal>
            <c:numRef>
              <c:f>'SHIFT-TILT FACTORS'!$G$61:$G$73</c:f>
              <c:numCache>
                <c:formatCode>General</c:formatCode>
                <c:ptCount val="13"/>
                <c:pt idx="0">
                  <c:v>3951</c:v>
                </c:pt>
                <c:pt idx="1">
                  <c:v>4479</c:v>
                </c:pt>
                <c:pt idx="2">
                  <c:v>10392</c:v>
                </c:pt>
                <c:pt idx="3">
                  <c:v>39055</c:v>
                </c:pt>
                <c:pt idx="4">
                  <c:v>51090</c:v>
                </c:pt>
                <c:pt idx="5">
                  <c:v>67609</c:v>
                </c:pt>
                <c:pt idx="6">
                  <c:v>168526</c:v>
                </c:pt>
                <c:pt idx="7">
                  <c:v>248632</c:v>
                </c:pt>
                <c:pt idx="8">
                  <c:v>501188</c:v>
                </c:pt>
                <c:pt idx="9">
                  <c:v>560905</c:v>
                </c:pt>
                <c:pt idx="10">
                  <c:v>595339</c:v>
                </c:pt>
                <c:pt idx="11">
                  <c:v>1079776</c:v>
                </c:pt>
                <c:pt idx="12">
                  <c:v>1111394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7E5-40C2-9211-0B6A1EB7B184}"/>
            </c:ext>
          </c:extLst>
        </c:ser>
        <c:ser>
          <c:idx val="2"/>
          <c:order val="4"/>
          <c:tx>
            <c:v>PMB-50 4PB STRESS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forward val="500"/>
            <c:backward val="50"/>
            <c:dispRSqr val="0"/>
            <c:dispEq val="0"/>
          </c:trendline>
          <c:xVal>
            <c:numRef>
              <c:f>'SHIFT-TILT FACTORS'!$F$74:$F$86</c:f>
              <c:numCache>
                <c:formatCode>0.000</c:formatCode>
                <c:ptCount val="13"/>
                <c:pt idx="0">
                  <c:v>215.63380000000001</c:v>
                </c:pt>
                <c:pt idx="1">
                  <c:v>191.69319999999999</c:v>
                </c:pt>
                <c:pt idx="2">
                  <c:v>184.73140000000001</c:v>
                </c:pt>
                <c:pt idx="3">
                  <c:v>153.29660000000001</c:v>
                </c:pt>
                <c:pt idx="4">
                  <c:v>180.72080000000003</c:v>
                </c:pt>
                <c:pt idx="5">
                  <c:v>174.01839999999999</c:v>
                </c:pt>
                <c:pt idx="6">
                  <c:v>121.3982</c:v>
                </c:pt>
                <c:pt idx="7">
                  <c:v>128.30940000000001</c:v>
                </c:pt>
                <c:pt idx="8">
                  <c:v>129.57679999999999</c:v>
                </c:pt>
                <c:pt idx="9">
                  <c:v>115.26179999999999</c:v>
                </c:pt>
                <c:pt idx="10">
                  <c:v>99.878999999999991</c:v>
                </c:pt>
                <c:pt idx="11">
                  <c:v>117.949</c:v>
                </c:pt>
                <c:pt idx="12">
                  <c:v>99.012</c:v>
                </c:pt>
              </c:numCache>
            </c:numRef>
          </c:xVal>
          <c:yVal>
            <c:numRef>
              <c:f>'SHIFT-TILT FACTORS'!$G$74:$G$86</c:f>
              <c:numCache>
                <c:formatCode>General</c:formatCode>
                <c:ptCount val="13"/>
                <c:pt idx="0">
                  <c:v>8577</c:v>
                </c:pt>
                <c:pt idx="1">
                  <c:v>25216</c:v>
                </c:pt>
                <c:pt idx="2">
                  <c:v>30316</c:v>
                </c:pt>
                <c:pt idx="3">
                  <c:v>39659</c:v>
                </c:pt>
                <c:pt idx="4">
                  <c:v>43820</c:v>
                </c:pt>
                <c:pt idx="5">
                  <c:v>64566</c:v>
                </c:pt>
                <c:pt idx="6">
                  <c:v>281119</c:v>
                </c:pt>
                <c:pt idx="7">
                  <c:v>491034</c:v>
                </c:pt>
                <c:pt idx="8">
                  <c:v>640718</c:v>
                </c:pt>
                <c:pt idx="9">
                  <c:v>774264</c:v>
                </c:pt>
                <c:pt idx="10">
                  <c:v>780737</c:v>
                </c:pt>
                <c:pt idx="11">
                  <c:v>1819163</c:v>
                </c:pt>
                <c:pt idx="12">
                  <c:v>2782560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E5-40C2-9211-0B6A1EB7B184}"/>
            </c:ext>
          </c:extLst>
        </c:ser>
        <c:ser>
          <c:idx val="5"/>
          <c:order val="5"/>
          <c:tx>
            <c:v>SP1-50 4PB STRESS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power"/>
            <c:forward val="500"/>
            <c:backward val="100"/>
            <c:dispRSqr val="0"/>
            <c:dispEq val="0"/>
          </c:trendline>
          <c:xVal>
            <c:numRef>
              <c:f>'SHIFT-TILT FACTORS'!$F$49:$F$60</c:f>
              <c:numCache>
                <c:formatCode>0.000</c:formatCode>
                <c:ptCount val="12"/>
                <c:pt idx="0">
                  <c:v>190.3888</c:v>
                </c:pt>
                <c:pt idx="1">
                  <c:v>202.5942</c:v>
                </c:pt>
                <c:pt idx="2">
                  <c:v>191.584</c:v>
                </c:pt>
                <c:pt idx="3">
                  <c:v>176</c:v>
                </c:pt>
                <c:pt idx="4">
                  <c:v>172.87979999999999</c:v>
                </c:pt>
                <c:pt idx="5">
                  <c:v>154.8176</c:v>
                </c:pt>
                <c:pt idx="6">
                  <c:v>135.8852</c:v>
                </c:pt>
                <c:pt idx="7">
                  <c:v>125.80019999999999</c:v>
                </c:pt>
                <c:pt idx="8">
                  <c:v>119.36660000000002</c:v>
                </c:pt>
                <c:pt idx="9">
                  <c:v>131.36999999999998</c:v>
                </c:pt>
                <c:pt idx="10">
                  <c:v>107.08759999999999</c:v>
                </c:pt>
                <c:pt idx="11">
                  <c:v>110.1176</c:v>
                </c:pt>
              </c:numCache>
            </c:numRef>
          </c:xVal>
          <c:yVal>
            <c:numRef>
              <c:f>'SHIFT-TILT FACTORS'!$G$49:$G$60</c:f>
              <c:numCache>
                <c:formatCode>General</c:formatCode>
                <c:ptCount val="12"/>
                <c:pt idx="0">
                  <c:v>16033</c:v>
                </c:pt>
                <c:pt idx="1">
                  <c:v>15216</c:v>
                </c:pt>
                <c:pt idx="2">
                  <c:v>21054</c:v>
                </c:pt>
                <c:pt idx="3">
                  <c:v>30000</c:v>
                </c:pt>
                <c:pt idx="4">
                  <c:v>31867</c:v>
                </c:pt>
                <c:pt idx="5">
                  <c:v>50505</c:v>
                </c:pt>
                <c:pt idx="6">
                  <c:v>143073</c:v>
                </c:pt>
                <c:pt idx="7">
                  <c:v>216549</c:v>
                </c:pt>
                <c:pt idx="8">
                  <c:v>236230</c:v>
                </c:pt>
                <c:pt idx="9">
                  <c:v>503759</c:v>
                </c:pt>
                <c:pt idx="10">
                  <c:v>677815</c:v>
                </c:pt>
                <c:pt idx="11">
                  <c:v>831764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7E5-40C2-9211-0B6A1EB7B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931648"/>
        <c:axId val="2066919648"/>
      </c:scatterChart>
      <c:valAx>
        <c:axId val="206693164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 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6919648"/>
        <c:crossesAt val="0.1"/>
        <c:crossBetween val="midCat"/>
      </c:valAx>
      <c:valAx>
        <c:axId val="2066919648"/>
        <c:scaling>
          <c:logBase val="10"/>
          <c:orientation val="minMax"/>
          <c:max val="1000000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f</a:t>
                </a:r>
                <a:r>
                  <a:rPr lang="it-IT" baseline="0"/>
                  <a:t> [-]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693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14827680701767956"/>
          <c:y val="0.3822613946931529"/>
          <c:w val="0.26232332395980462"/>
          <c:h val="0.4558755566293474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50%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2987302956924"/>
          <c:y val="0.13333426166967643"/>
          <c:w val="0.83148063546848427"/>
          <c:h val="0.7315993964836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'ANNEX F'!$Q$4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00B050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F'!$E$4:$E$12</c:f>
              <c:numCache>
                <c:formatCode>0.0</c:formatCode>
                <c:ptCount val="9"/>
                <c:pt idx="0">
                  <c:v>290</c:v>
                </c:pt>
                <c:pt idx="1">
                  <c:v>300</c:v>
                </c:pt>
                <c:pt idx="2">
                  <c:v>470</c:v>
                </c:pt>
                <c:pt idx="3">
                  <c:v>330</c:v>
                </c:pt>
                <c:pt idx="4">
                  <c:v>220</c:v>
                </c:pt>
                <c:pt idx="5">
                  <c:v>440</c:v>
                </c:pt>
                <c:pt idx="6">
                  <c:v>220</c:v>
                </c:pt>
                <c:pt idx="7">
                  <c:v>220</c:v>
                </c:pt>
                <c:pt idx="8">
                  <c:v>450</c:v>
                </c:pt>
              </c:numCache>
            </c:numRef>
          </c:xVal>
          <c:yVal>
            <c:numRef>
              <c:f>'ANNEX F'!$H$4:$H$12</c:f>
              <c:numCache>
                <c:formatCode>0.00</c:formatCode>
                <c:ptCount val="9"/>
                <c:pt idx="0">
                  <c:v>5010</c:v>
                </c:pt>
                <c:pt idx="1">
                  <c:v>5290</c:v>
                </c:pt>
                <c:pt idx="2">
                  <c:v>1080</c:v>
                </c:pt>
                <c:pt idx="3">
                  <c:v>5350</c:v>
                </c:pt>
                <c:pt idx="4">
                  <c:v>50770</c:v>
                </c:pt>
                <c:pt idx="5">
                  <c:v>1720</c:v>
                </c:pt>
                <c:pt idx="6">
                  <c:v>58170</c:v>
                </c:pt>
                <c:pt idx="7">
                  <c:v>52800</c:v>
                </c:pt>
                <c:pt idx="8">
                  <c:v>1350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F4-4908-8B94-A020C9B607A8}"/>
            </c:ext>
          </c:extLst>
        </c:ser>
        <c:ser>
          <c:idx val="1"/>
          <c:order val="1"/>
          <c:tx>
            <c:strRef>
              <c:f>'ANNEX F'!$Q$13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2"/>
                </a:solidFill>
                <a:prstDash val="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F'!$E$13:$E$20</c:f>
              <c:numCache>
                <c:formatCode>0.0</c:formatCode>
                <c:ptCount val="8"/>
                <c:pt idx="0">
                  <c:v>280</c:v>
                </c:pt>
                <c:pt idx="1">
                  <c:v>270</c:v>
                </c:pt>
                <c:pt idx="2">
                  <c:v>280</c:v>
                </c:pt>
                <c:pt idx="3">
                  <c:v>450</c:v>
                </c:pt>
                <c:pt idx="4">
                  <c:v>470</c:v>
                </c:pt>
                <c:pt idx="5">
                  <c:v>450</c:v>
                </c:pt>
                <c:pt idx="6">
                  <c:v>190</c:v>
                </c:pt>
                <c:pt idx="7">
                  <c:v>190</c:v>
                </c:pt>
              </c:numCache>
            </c:numRef>
          </c:xVal>
          <c:yVal>
            <c:numRef>
              <c:f>'ANNEX F'!$H$13:$H$20</c:f>
              <c:numCache>
                <c:formatCode>0</c:formatCode>
                <c:ptCount val="8"/>
                <c:pt idx="0">
                  <c:v>14150</c:v>
                </c:pt>
                <c:pt idx="1">
                  <c:v>11610</c:v>
                </c:pt>
                <c:pt idx="2">
                  <c:v>12320</c:v>
                </c:pt>
                <c:pt idx="3">
                  <c:v>1690</c:v>
                </c:pt>
                <c:pt idx="4">
                  <c:v>1370</c:v>
                </c:pt>
                <c:pt idx="5">
                  <c:v>1520</c:v>
                </c:pt>
                <c:pt idx="6">
                  <c:v>52500</c:v>
                </c:pt>
                <c:pt idx="7">
                  <c:v>60730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F4-4908-8B94-A020C9B607A8}"/>
            </c:ext>
          </c:extLst>
        </c:ser>
        <c:ser>
          <c:idx val="4"/>
          <c:order val="2"/>
          <c:tx>
            <c:strRef>
              <c:f>'ANNEX F'!$Q$21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F'!$E$21:$E$31</c:f>
              <c:numCache>
                <c:formatCode>General</c:formatCode>
                <c:ptCount val="11"/>
                <c:pt idx="0">
                  <c:v>190</c:v>
                </c:pt>
                <c:pt idx="1">
                  <c:v>280</c:v>
                </c:pt>
                <c:pt idx="2">
                  <c:v>470</c:v>
                </c:pt>
                <c:pt idx="3">
                  <c:v>280</c:v>
                </c:pt>
                <c:pt idx="4">
                  <c:v>280</c:v>
                </c:pt>
                <c:pt idx="5">
                  <c:v>210</c:v>
                </c:pt>
                <c:pt idx="6">
                  <c:v>200</c:v>
                </c:pt>
                <c:pt idx="7">
                  <c:v>190</c:v>
                </c:pt>
                <c:pt idx="8">
                  <c:v>190</c:v>
                </c:pt>
                <c:pt idx="9">
                  <c:v>470</c:v>
                </c:pt>
                <c:pt idx="10">
                  <c:v>450</c:v>
                </c:pt>
              </c:numCache>
            </c:numRef>
          </c:xVal>
          <c:yVal>
            <c:numRef>
              <c:f>'ANNEX F'!$H$21:$H$31</c:f>
              <c:numCache>
                <c:formatCode>0</c:formatCode>
                <c:ptCount val="11"/>
                <c:pt idx="0">
                  <c:v>25160</c:v>
                </c:pt>
                <c:pt idx="1">
                  <c:v>11530</c:v>
                </c:pt>
                <c:pt idx="2">
                  <c:v>1480</c:v>
                </c:pt>
                <c:pt idx="3">
                  <c:v>12160</c:v>
                </c:pt>
                <c:pt idx="4">
                  <c:v>8640</c:v>
                </c:pt>
                <c:pt idx="5">
                  <c:v>48790</c:v>
                </c:pt>
                <c:pt idx="6">
                  <c:v>39420</c:v>
                </c:pt>
                <c:pt idx="7">
                  <c:v>55740</c:v>
                </c:pt>
                <c:pt idx="8">
                  <c:v>52490</c:v>
                </c:pt>
                <c:pt idx="9">
                  <c:v>1290</c:v>
                </c:pt>
                <c:pt idx="10">
                  <c:v>1590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0F4-4908-8B94-A020C9B607A8}"/>
            </c:ext>
          </c:extLst>
        </c:ser>
        <c:ser>
          <c:idx val="2"/>
          <c:order val="3"/>
          <c:tx>
            <c:strRef>
              <c:f>'ANNEX F'!$Q$35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3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F'!$E$36:$E$51</c:f>
              <c:numCache>
                <c:formatCode>General</c:formatCode>
                <c:ptCount val="16"/>
                <c:pt idx="0">
                  <c:v>300</c:v>
                </c:pt>
                <c:pt idx="1">
                  <c:v>350</c:v>
                </c:pt>
                <c:pt idx="2">
                  <c:v>530</c:v>
                </c:pt>
                <c:pt idx="3">
                  <c:v>330</c:v>
                </c:pt>
                <c:pt idx="4">
                  <c:v>520</c:v>
                </c:pt>
                <c:pt idx="5">
                  <c:v>240</c:v>
                </c:pt>
                <c:pt idx="6">
                  <c:v>270</c:v>
                </c:pt>
                <c:pt idx="7">
                  <c:v>270</c:v>
                </c:pt>
                <c:pt idx="8">
                  <c:v>250</c:v>
                </c:pt>
                <c:pt idx="9">
                  <c:v>530</c:v>
                </c:pt>
                <c:pt idx="10">
                  <c:v>360</c:v>
                </c:pt>
                <c:pt idx="11">
                  <c:v>330</c:v>
                </c:pt>
                <c:pt idx="12">
                  <c:v>540</c:v>
                </c:pt>
                <c:pt idx="13">
                  <c:v>540</c:v>
                </c:pt>
                <c:pt idx="14">
                  <c:v>340</c:v>
                </c:pt>
                <c:pt idx="15">
                  <c:v>350</c:v>
                </c:pt>
              </c:numCache>
            </c:numRef>
          </c:xVal>
          <c:yVal>
            <c:numRef>
              <c:f>'ANNEX F'!$H$36:$H$51</c:f>
              <c:numCache>
                <c:formatCode>0</c:formatCode>
                <c:ptCount val="16"/>
                <c:pt idx="0">
                  <c:v>27980</c:v>
                </c:pt>
                <c:pt idx="1">
                  <c:v>13210</c:v>
                </c:pt>
                <c:pt idx="2">
                  <c:v>2480</c:v>
                </c:pt>
                <c:pt idx="3">
                  <c:v>13030</c:v>
                </c:pt>
                <c:pt idx="4">
                  <c:v>2400</c:v>
                </c:pt>
                <c:pt idx="5">
                  <c:v>55270</c:v>
                </c:pt>
                <c:pt idx="6">
                  <c:v>86070</c:v>
                </c:pt>
                <c:pt idx="7">
                  <c:v>100990</c:v>
                </c:pt>
                <c:pt idx="8">
                  <c:v>83320</c:v>
                </c:pt>
                <c:pt idx="9">
                  <c:v>1880</c:v>
                </c:pt>
                <c:pt idx="10">
                  <c:v>11170</c:v>
                </c:pt>
                <c:pt idx="11">
                  <c:v>24640</c:v>
                </c:pt>
                <c:pt idx="12">
                  <c:v>1510</c:v>
                </c:pt>
                <c:pt idx="13">
                  <c:v>2230</c:v>
                </c:pt>
                <c:pt idx="14">
                  <c:v>16440</c:v>
                </c:pt>
                <c:pt idx="15">
                  <c:v>13140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0F4-4908-8B94-A020C9B607A8}"/>
            </c:ext>
          </c:extLst>
        </c:ser>
        <c:ser>
          <c:idx val="3"/>
          <c:order val="4"/>
          <c:tx>
            <c:strRef>
              <c:f>'ANNEX F'!$Q$45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4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F'!$E$53:$E$60</c:f>
              <c:numCache>
                <c:formatCode>General</c:formatCode>
                <c:ptCount val="8"/>
              </c:numCache>
            </c:numRef>
          </c:xVal>
          <c:yVal>
            <c:numRef>
              <c:f>'ANNEX F'!$H$53:$H$60</c:f>
              <c:numCache>
                <c:formatCode>0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0F4-4908-8B94-A020C9B60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 baseline="0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a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[kPa]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2692237783133778"/>
          <c:y val="0.33190616788468064"/>
          <c:w val="0.18775699467257465"/>
          <c:h val="0.526886803933470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'ANNEX F'!$Q$4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00B050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F'!$E$4:$E$12</c:f>
              <c:numCache>
                <c:formatCode>0.0</c:formatCode>
                <c:ptCount val="9"/>
                <c:pt idx="0">
                  <c:v>290</c:v>
                </c:pt>
                <c:pt idx="1">
                  <c:v>300</c:v>
                </c:pt>
                <c:pt idx="2">
                  <c:v>470</c:v>
                </c:pt>
                <c:pt idx="3">
                  <c:v>330</c:v>
                </c:pt>
                <c:pt idx="4">
                  <c:v>220</c:v>
                </c:pt>
                <c:pt idx="5">
                  <c:v>440</c:v>
                </c:pt>
                <c:pt idx="6">
                  <c:v>220</c:v>
                </c:pt>
                <c:pt idx="7">
                  <c:v>220</c:v>
                </c:pt>
                <c:pt idx="8">
                  <c:v>450</c:v>
                </c:pt>
              </c:numCache>
            </c:numRef>
          </c:xVal>
          <c:yVal>
            <c:numRef>
              <c:f>'ANNEX F'!$I$4:$I$12</c:f>
              <c:numCache>
                <c:formatCode>0</c:formatCode>
                <c:ptCount val="9"/>
                <c:pt idx="0">
                  <c:v>4270</c:v>
                </c:pt>
                <c:pt idx="1">
                  <c:v>4520</c:v>
                </c:pt>
                <c:pt idx="2">
                  <c:v>950</c:v>
                </c:pt>
                <c:pt idx="3">
                  <c:v>4290</c:v>
                </c:pt>
                <c:pt idx="4">
                  <c:v>44610</c:v>
                </c:pt>
                <c:pt idx="5">
                  <c:v>1480</c:v>
                </c:pt>
                <c:pt idx="6">
                  <c:v>51850</c:v>
                </c:pt>
                <c:pt idx="7">
                  <c:v>49000</c:v>
                </c:pt>
                <c:pt idx="8">
                  <c:v>1250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6F-44E0-9739-94D82AD36F21}"/>
            </c:ext>
          </c:extLst>
        </c:ser>
        <c:ser>
          <c:idx val="1"/>
          <c:order val="1"/>
          <c:tx>
            <c:strRef>
              <c:f>'ANNEX F'!$Q$13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F'!$E$13:$E$20</c:f>
              <c:numCache>
                <c:formatCode>0.0</c:formatCode>
                <c:ptCount val="8"/>
                <c:pt idx="0">
                  <c:v>280</c:v>
                </c:pt>
                <c:pt idx="1">
                  <c:v>270</c:v>
                </c:pt>
                <c:pt idx="2">
                  <c:v>280</c:v>
                </c:pt>
                <c:pt idx="3">
                  <c:v>450</c:v>
                </c:pt>
                <c:pt idx="4">
                  <c:v>470</c:v>
                </c:pt>
                <c:pt idx="5">
                  <c:v>450</c:v>
                </c:pt>
                <c:pt idx="6">
                  <c:v>190</c:v>
                </c:pt>
                <c:pt idx="7">
                  <c:v>190</c:v>
                </c:pt>
              </c:numCache>
            </c:numRef>
          </c:xVal>
          <c:yVal>
            <c:numRef>
              <c:f>'ANNEX F'!$I$13:$I$20</c:f>
              <c:numCache>
                <c:formatCode>0</c:formatCode>
                <c:ptCount val="8"/>
                <c:pt idx="0">
                  <c:v>11990</c:v>
                </c:pt>
                <c:pt idx="1">
                  <c:v>9650</c:v>
                </c:pt>
                <c:pt idx="2">
                  <c:v>10150</c:v>
                </c:pt>
                <c:pt idx="3">
                  <c:v>1490</c:v>
                </c:pt>
                <c:pt idx="4">
                  <c:v>1220</c:v>
                </c:pt>
                <c:pt idx="5">
                  <c:v>1450</c:v>
                </c:pt>
                <c:pt idx="6">
                  <c:v>49800</c:v>
                </c:pt>
                <c:pt idx="7">
                  <c:v>55850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26F-44E0-9739-94D82AD36F21}"/>
            </c:ext>
          </c:extLst>
        </c:ser>
        <c:ser>
          <c:idx val="4"/>
          <c:order val="2"/>
          <c:tx>
            <c:strRef>
              <c:f>'ANNEX F'!$Q$21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lgDashDot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F'!$E$21:$E$31</c:f>
              <c:numCache>
                <c:formatCode>General</c:formatCode>
                <c:ptCount val="11"/>
                <c:pt idx="0">
                  <c:v>190</c:v>
                </c:pt>
                <c:pt idx="1">
                  <c:v>280</c:v>
                </c:pt>
                <c:pt idx="2">
                  <c:v>470</c:v>
                </c:pt>
                <c:pt idx="3">
                  <c:v>280</c:v>
                </c:pt>
                <c:pt idx="4">
                  <c:v>280</c:v>
                </c:pt>
                <c:pt idx="5">
                  <c:v>210</c:v>
                </c:pt>
                <c:pt idx="6">
                  <c:v>200</c:v>
                </c:pt>
                <c:pt idx="7">
                  <c:v>190</c:v>
                </c:pt>
                <c:pt idx="8">
                  <c:v>190</c:v>
                </c:pt>
                <c:pt idx="9">
                  <c:v>470</c:v>
                </c:pt>
                <c:pt idx="10">
                  <c:v>450</c:v>
                </c:pt>
              </c:numCache>
            </c:numRef>
          </c:xVal>
          <c:yVal>
            <c:numRef>
              <c:f>'ANNEX F'!$I$21:$I$31</c:f>
              <c:numCache>
                <c:formatCode>0</c:formatCode>
                <c:ptCount val="11"/>
                <c:pt idx="0">
                  <c:v>23770</c:v>
                </c:pt>
                <c:pt idx="1">
                  <c:v>10070</c:v>
                </c:pt>
                <c:pt idx="2">
                  <c:v>1350</c:v>
                </c:pt>
                <c:pt idx="3">
                  <c:v>10200</c:v>
                </c:pt>
                <c:pt idx="4">
                  <c:v>7890</c:v>
                </c:pt>
                <c:pt idx="5">
                  <c:v>43240</c:v>
                </c:pt>
                <c:pt idx="6">
                  <c:v>38840</c:v>
                </c:pt>
                <c:pt idx="7">
                  <c:v>48040</c:v>
                </c:pt>
                <c:pt idx="8">
                  <c:v>48390</c:v>
                </c:pt>
                <c:pt idx="9">
                  <c:v>1140</c:v>
                </c:pt>
                <c:pt idx="10">
                  <c:v>1490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26F-44E0-9739-94D82AD36F21}"/>
            </c:ext>
          </c:extLst>
        </c:ser>
        <c:ser>
          <c:idx val="2"/>
          <c:order val="3"/>
          <c:tx>
            <c:strRef>
              <c:f>'ANNEX F'!$Q$35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F'!$E$36:$E$51</c:f>
              <c:numCache>
                <c:formatCode>General</c:formatCode>
                <c:ptCount val="16"/>
                <c:pt idx="0">
                  <c:v>300</c:v>
                </c:pt>
                <c:pt idx="1">
                  <c:v>350</c:v>
                </c:pt>
                <c:pt idx="2">
                  <c:v>530</c:v>
                </c:pt>
                <c:pt idx="3">
                  <c:v>330</c:v>
                </c:pt>
                <c:pt idx="4">
                  <c:v>520</c:v>
                </c:pt>
                <c:pt idx="5">
                  <c:v>240</c:v>
                </c:pt>
                <c:pt idx="6">
                  <c:v>270</c:v>
                </c:pt>
                <c:pt idx="7">
                  <c:v>270</c:v>
                </c:pt>
                <c:pt idx="8">
                  <c:v>250</c:v>
                </c:pt>
                <c:pt idx="9">
                  <c:v>530</c:v>
                </c:pt>
                <c:pt idx="10">
                  <c:v>360</c:v>
                </c:pt>
                <c:pt idx="11">
                  <c:v>330</c:v>
                </c:pt>
                <c:pt idx="12">
                  <c:v>540</c:v>
                </c:pt>
                <c:pt idx="13">
                  <c:v>540</c:v>
                </c:pt>
                <c:pt idx="14">
                  <c:v>340</c:v>
                </c:pt>
                <c:pt idx="15">
                  <c:v>350</c:v>
                </c:pt>
              </c:numCache>
            </c:numRef>
          </c:xVal>
          <c:yVal>
            <c:numRef>
              <c:f>'ANNEX F'!$I$36:$I$51</c:f>
              <c:numCache>
                <c:formatCode>0</c:formatCode>
                <c:ptCount val="16"/>
                <c:pt idx="0">
                  <c:v>22890</c:v>
                </c:pt>
                <c:pt idx="1">
                  <c:v>12200</c:v>
                </c:pt>
                <c:pt idx="2">
                  <c:v>2050</c:v>
                </c:pt>
                <c:pt idx="3">
                  <c:v>10210</c:v>
                </c:pt>
                <c:pt idx="4">
                  <c:v>2060</c:v>
                </c:pt>
                <c:pt idx="5">
                  <c:v>48970</c:v>
                </c:pt>
                <c:pt idx="6">
                  <c:v>79600</c:v>
                </c:pt>
                <c:pt idx="7">
                  <c:v>112110</c:v>
                </c:pt>
                <c:pt idx="8">
                  <c:v>78360</c:v>
                </c:pt>
                <c:pt idx="9">
                  <c:v>1710</c:v>
                </c:pt>
                <c:pt idx="10">
                  <c:v>9090</c:v>
                </c:pt>
                <c:pt idx="11">
                  <c:v>23800</c:v>
                </c:pt>
                <c:pt idx="12">
                  <c:v>1370</c:v>
                </c:pt>
                <c:pt idx="13">
                  <c:v>2000</c:v>
                </c:pt>
                <c:pt idx="14">
                  <c:v>15810</c:v>
                </c:pt>
                <c:pt idx="15">
                  <c:v>13120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26F-44E0-9739-94D82AD36F21}"/>
            </c:ext>
          </c:extLst>
        </c:ser>
        <c:ser>
          <c:idx val="3"/>
          <c:order val="4"/>
          <c:tx>
            <c:strRef>
              <c:f>'ANNEX F'!$Q$45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F'!$E$53:$E$60</c:f>
              <c:numCache>
                <c:formatCode>General</c:formatCode>
                <c:ptCount val="8"/>
              </c:numCache>
            </c:numRef>
          </c:xVal>
          <c:yVal>
            <c:numRef>
              <c:f>'ANNEX F'!$I$53:$I$60</c:f>
              <c:numCache>
                <c:formatCode>0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26F-44E0-9739-94D82AD36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a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[kPa]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2426675034084553"/>
          <c:y val="0.32654729370984475"/>
          <c:w val="0.16049550246450839"/>
          <c:h val="0.5303642792924220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ROTTURA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'ANNEX F'!$Q$4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00B050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F'!$E$4:$E$12</c:f>
              <c:numCache>
                <c:formatCode>0.0</c:formatCode>
                <c:ptCount val="9"/>
                <c:pt idx="0">
                  <c:v>290</c:v>
                </c:pt>
                <c:pt idx="1">
                  <c:v>300</c:v>
                </c:pt>
                <c:pt idx="2">
                  <c:v>470</c:v>
                </c:pt>
                <c:pt idx="3">
                  <c:v>330</c:v>
                </c:pt>
                <c:pt idx="4">
                  <c:v>220</c:v>
                </c:pt>
                <c:pt idx="5">
                  <c:v>440</c:v>
                </c:pt>
                <c:pt idx="6">
                  <c:v>220</c:v>
                </c:pt>
                <c:pt idx="7">
                  <c:v>220</c:v>
                </c:pt>
                <c:pt idx="8">
                  <c:v>450</c:v>
                </c:pt>
              </c:numCache>
            </c:numRef>
          </c:xVal>
          <c:yVal>
            <c:numRef>
              <c:f>'ANNEX F'!$J$4:$J$12</c:f>
              <c:numCache>
                <c:formatCode>0</c:formatCode>
                <c:ptCount val="9"/>
                <c:pt idx="0">
                  <c:v>6570</c:v>
                </c:pt>
                <c:pt idx="1">
                  <c:v>6500</c:v>
                </c:pt>
                <c:pt idx="2">
                  <c:v>1490</c:v>
                </c:pt>
                <c:pt idx="3">
                  <c:v>7160</c:v>
                </c:pt>
                <c:pt idx="4">
                  <c:v>68990</c:v>
                </c:pt>
                <c:pt idx="5">
                  <c:v>2110</c:v>
                </c:pt>
                <c:pt idx="6">
                  <c:v>72800</c:v>
                </c:pt>
                <c:pt idx="7">
                  <c:v>71970</c:v>
                </c:pt>
                <c:pt idx="8">
                  <c:v>1840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C8-47A4-B0DD-7AB14E22BCFB}"/>
            </c:ext>
          </c:extLst>
        </c:ser>
        <c:ser>
          <c:idx val="1"/>
          <c:order val="1"/>
          <c:tx>
            <c:strRef>
              <c:f>'ANNEX F'!$Q$13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F'!$E$13:$E$20</c:f>
              <c:numCache>
                <c:formatCode>0.0</c:formatCode>
                <c:ptCount val="8"/>
                <c:pt idx="0">
                  <c:v>280</c:v>
                </c:pt>
                <c:pt idx="1">
                  <c:v>270</c:v>
                </c:pt>
                <c:pt idx="2">
                  <c:v>280</c:v>
                </c:pt>
                <c:pt idx="3">
                  <c:v>450</c:v>
                </c:pt>
                <c:pt idx="4">
                  <c:v>470</c:v>
                </c:pt>
                <c:pt idx="5">
                  <c:v>450</c:v>
                </c:pt>
                <c:pt idx="6">
                  <c:v>190</c:v>
                </c:pt>
                <c:pt idx="7">
                  <c:v>190</c:v>
                </c:pt>
              </c:numCache>
            </c:numRef>
          </c:xVal>
          <c:yVal>
            <c:numRef>
              <c:f>'ANNEX F'!$J$13:$J$20</c:f>
              <c:numCache>
                <c:formatCode>General</c:formatCode>
                <c:ptCount val="8"/>
                <c:pt idx="0">
                  <c:v>17630</c:v>
                </c:pt>
                <c:pt idx="1">
                  <c:v>13850</c:v>
                </c:pt>
                <c:pt idx="2">
                  <c:v>16290</c:v>
                </c:pt>
                <c:pt idx="3">
                  <c:v>2090</c:v>
                </c:pt>
                <c:pt idx="4">
                  <c:v>1660</c:v>
                </c:pt>
                <c:pt idx="5">
                  <c:v>1940</c:v>
                </c:pt>
                <c:pt idx="6">
                  <c:v>63650</c:v>
                </c:pt>
                <c:pt idx="7">
                  <c:v>82280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7C8-47A4-B0DD-7AB14E22BCFB}"/>
            </c:ext>
          </c:extLst>
        </c:ser>
        <c:ser>
          <c:idx val="4"/>
          <c:order val="2"/>
          <c:tx>
            <c:strRef>
              <c:f>'ANNEX F'!$Q$21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F'!$E$21:$E$31</c:f>
              <c:numCache>
                <c:formatCode>General</c:formatCode>
                <c:ptCount val="11"/>
                <c:pt idx="0">
                  <c:v>190</c:v>
                </c:pt>
                <c:pt idx="1">
                  <c:v>280</c:v>
                </c:pt>
                <c:pt idx="2">
                  <c:v>470</c:v>
                </c:pt>
                <c:pt idx="3">
                  <c:v>280</c:v>
                </c:pt>
                <c:pt idx="4">
                  <c:v>280</c:v>
                </c:pt>
                <c:pt idx="5">
                  <c:v>210</c:v>
                </c:pt>
                <c:pt idx="6">
                  <c:v>200</c:v>
                </c:pt>
                <c:pt idx="7">
                  <c:v>190</c:v>
                </c:pt>
                <c:pt idx="8">
                  <c:v>190</c:v>
                </c:pt>
                <c:pt idx="9">
                  <c:v>470</c:v>
                </c:pt>
                <c:pt idx="10">
                  <c:v>450</c:v>
                </c:pt>
              </c:numCache>
            </c:numRef>
          </c:xVal>
          <c:yVal>
            <c:numRef>
              <c:f>'ANNEX F'!$J$21:$J$31</c:f>
              <c:numCache>
                <c:formatCode>0</c:formatCode>
                <c:ptCount val="11"/>
                <c:pt idx="0">
                  <c:v>32130</c:v>
                </c:pt>
                <c:pt idx="1">
                  <c:v>13910</c:v>
                </c:pt>
                <c:pt idx="2">
                  <c:v>1870</c:v>
                </c:pt>
                <c:pt idx="3">
                  <c:v>15900</c:v>
                </c:pt>
                <c:pt idx="4">
                  <c:v>10720</c:v>
                </c:pt>
                <c:pt idx="5">
                  <c:v>57850</c:v>
                </c:pt>
                <c:pt idx="6">
                  <c:v>52460</c:v>
                </c:pt>
                <c:pt idx="7">
                  <c:v>69390</c:v>
                </c:pt>
                <c:pt idx="8">
                  <c:v>64190</c:v>
                </c:pt>
                <c:pt idx="9">
                  <c:v>1720</c:v>
                </c:pt>
                <c:pt idx="10">
                  <c:v>2040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7C8-47A4-B0DD-7AB14E22BCFB}"/>
            </c:ext>
          </c:extLst>
        </c:ser>
        <c:ser>
          <c:idx val="2"/>
          <c:order val="3"/>
          <c:tx>
            <c:strRef>
              <c:f>'ANNEX F'!$Q$35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lg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F'!$E$36:$E$51</c:f>
              <c:numCache>
                <c:formatCode>General</c:formatCode>
                <c:ptCount val="16"/>
                <c:pt idx="0">
                  <c:v>300</c:v>
                </c:pt>
                <c:pt idx="1">
                  <c:v>350</c:v>
                </c:pt>
                <c:pt idx="2">
                  <c:v>530</c:v>
                </c:pt>
                <c:pt idx="3">
                  <c:v>330</c:v>
                </c:pt>
                <c:pt idx="4">
                  <c:v>520</c:v>
                </c:pt>
                <c:pt idx="5">
                  <c:v>240</c:v>
                </c:pt>
                <c:pt idx="6">
                  <c:v>270</c:v>
                </c:pt>
                <c:pt idx="7">
                  <c:v>270</c:v>
                </c:pt>
                <c:pt idx="8">
                  <c:v>250</c:v>
                </c:pt>
                <c:pt idx="9">
                  <c:v>530</c:v>
                </c:pt>
                <c:pt idx="10">
                  <c:v>360</c:v>
                </c:pt>
                <c:pt idx="11">
                  <c:v>330</c:v>
                </c:pt>
                <c:pt idx="12">
                  <c:v>540</c:v>
                </c:pt>
                <c:pt idx="13">
                  <c:v>540</c:v>
                </c:pt>
                <c:pt idx="14">
                  <c:v>340</c:v>
                </c:pt>
                <c:pt idx="15">
                  <c:v>350</c:v>
                </c:pt>
              </c:numCache>
            </c:numRef>
          </c:xVal>
          <c:yVal>
            <c:numRef>
              <c:f>'ANNEX F'!$J$36:$J$51</c:f>
              <c:numCache>
                <c:formatCode>0</c:formatCode>
                <c:ptCount val="16"/>
                <c:pt idx="0">
                  <c:v>35290</c:v>
                </c:pt>
                <c:pt idx="1">
                  <c:v>15590</c:v>
                </c:pt>
                <c:pt idx="2">
                  <c:v>3100</c:v>
                </c:pt>
                <c:pt idx="3">
                  <c:v>16190</c:v>
                </c:pt>
                <c:pt idx="4">
                  <c:v>3120</c:v>
                </c:pt>
                <c:pt idx="5">
                  <c:v>70640</c:v>
                </c:pt>
                <c:pt idx="6">
                  <c:v>118340</c:v>
                </c:pt>
                <c:pt idx="7">
                  <c:v>160130</c:v>
                </c:pt>
                <c:pt idx="8">
                  <c:v>103150</c:v>
                </c:pt>
                <c:pt idx="9">
                  <c:v>2410</c:v>
                </c:pt>
                <c:pt idx="10">
                  <c:v>14370</c:v>
                </c:pt>
                <c:pt idx="11">
                  <c:v>35090</c:v>
                </c:pt>
                <c:pt idx="12">
                  <c:v>1980</c:v>
                </c:pt>
                <c:pt idx="13">
                  <c:v>2840</c:v>
                </c:pt>
                <c:pt idx="14">
                  <c:v>23040</c:v>
                </c:pt>
                <c:pt idx="15">
                  <c:v>19640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7C8-47A4-B0DD-7AB14E22BCFB}"/>
            </c:ext>
          </c:extLst>
        </c:ser>
        <c:ser>
          <c:idx val="3"/>
          <c:order val="4"/>
          <c:tx>
            <c:strRef>
              <c:f>'ANNEX F'!$Q$45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lgDashDot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F'!$E$53:$E$60</c:f>
              <c:numCache>
                <c:formatCode>General</c:formatCode>
                <c:ptCount val="8"/>
              </c:numCache>
            </c:numRef>
          </c:xVal>
          <c:yVal>
            <c:numRef>
              <c:f>'ANNEX F'!$J$53:$J$60</c:f>
              <c:numCache>
                <c:formatCode>0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7C8-47A4-B0DD-7AB14E22B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 baseline="0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a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[kPa]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3409311499558393"/>
          <c:y val="0.33661339677757512"/>
          <c:w val="0.21003523489409245"/>
          <c:h val="0.530318870818753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ROTTURA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'ANNEX F'!$Q$4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00B050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F'!$G$4:$G$12</c:f>
              <c:numCache>
                <c:formatCode>0.00</c:formatCode>
                <c:ptCount val="9"/>
                <c:pt idx="0">
                  <c:v>101.54843116104489</c:v>
                </c:pt>
                <c:pt idx="1">
                  <c:v>123.09638525132465</c:v>
                </c:pt>
                <c:pt idx="2">
                  <c:v>158.04866854391051</c:v>
                </c:pt>
                <c:pt idx="3">
                  <c:v>106.94470896414164</c:v>
                </c:pt>
                <c:pt idx="4">
                  <c:v>56.614844441852306</c:v>
                </c:pt>
                <c:pt idx="5">
                  <c:v>155.06563076013461</c:v>
                </c:pt>
                <c:pt idx="6">
                  <c:v>60.122275900112307</c:v>
                </c:pt>
                <c:pt idx="7">
                  <c:v>54.977657197971936</c:v>
                </c:pt>
                <c:pt idx="8">
                  <c:v>149.68660610655272</c:v>
                </c:pt>
              </c:numCache>
            </c:numRef>
          </c:xVal>
          <c:yVal>
            <c:numRef>
              <c:f>'ANNEX F'!$J$4:$J$12</c:f>
              <c:numCache>
                <c:formatCode>0</c:formatCode>
                <c:ptCount val="9"/>
                <c:pt idx="0">
                  <c:v>6570</c:v>
                </c:pt>
                <c:pt idx="1">
                  <c:v>6500</c:v>
                </c:pt>
                <c:pt idx="2">
                  <c:v>1490</c:v>
                </c:pt>
                <c:pt idx="3">
                  <c:v>7160</c:v>
                </c:pt>
                <c:pt idx="4">
                  <c:v>68990</c:v>
                </c:pt>
                <c:pt idx="5">
                  <c:v>2110</c:v>
                </c:pt>
                <c:pt idx="6">
                  <c:v>72800</c:v>
                </c:pt>
                <c:pt idx="7">
                  <c:v>71970</c:v>
                </c:pt>
                <c:pt idx="8">
                  <c:v>1840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87-43CF-93E5-7EE892B3F8FE}"/>
            </c:ext>
          </c:extLst>
        </c:ser>
        <c:ser>
          <c:idx val="1"/>
          <c:order val="1"/>
          <c:tx>
            <c:strRef>
              <c:f>'ANNEX F'!$Q$13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F'!$G$13:$G$20</c:f>
              <c:numCache>
                <c:formatCode>0.0</c:formatCode>
                <c:ptCount val="8"/>
                <c:pt idx="0">
                  <c:v>85.488460584620441</c:v>
                </c:pt>
                <c:pt idx="1">
                  <c:v>95.038901659819828</c:v>
                </c:pt>
                <c:pt idx="2">
                  <c:v>89.262579738930796</c:v>
                </c:pt>
                <c:pt idx="3">
                  <c:v>146.43494466141726</c:v>
                </c:pt>
                <c:pt idx="4">
                  <c:v>154.0632769135932</c:v>
                </c:pt>
                <c:pt idx="5">
                  <c:v>151.92726487361062</c:v>
                </c:pt>
                <c:pt idx="6">
                  <c:v>56.318002552050849</c:v>
                </c:pt>
                <c:pt idx="7">
                  <c:v>56.077014630934009</c:v>
                </c:pt>
              </c:numCache>
            </c:numRef>
          </c:xVal>
          <c:yVal>
            <c:numRef>
              <c:f>'ANNEX F'!$J$13:$J$20</c:f>
              <c:numCache>
                <c:formatCode>General</c:formatCode>
                <c:ptCount val="8"/>
                <c:pt idx="0">
                  <c:v>17630</c:v>
                </c:pt>
                <c:pt idx="1">
                  <c:v>13850</c:v>
                </c:pt>
                <c:pt idx="2">
                  <c:v>16290</c:v>
                </c:pt>
                <c:pt idx="3">
                  <c:v>2090</c:v>
                </c:pt>
                <c:pt idx="4">
                  <c:v>1660</c:v>
                </c:pt>
                <c:pt idx="5">
                  <c:v>1940</c:v>
                </c:pt>
                <c:pt idx="6">
                  <c:v>63650</c:v>
                </c:pt>
                <c:pt idx="7">
                  <c:v>82280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87-43CF-93E5-7EE892B3F8FE}"/>
            </c:ext>
          </c:extLst>
        </c:ser>
        <c:ser>
          <c:idx val="4"/>
          <c:order val="2"/>
          <c:tx>
            <c:strRef>
              <c:f>'ANNEX F'!$Q$21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lgDashDot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F'!$G$21:$G$31</c:f>
              <c:numCache>
                <c:formatCode>0.0</c:formatCode>
                <c:ptCount val="11"/>
                <c:pt idx="0">
                  <c:v>61.496996325025471</c:v>
                </c:pt>
                <c:pt idx="1">
                  <c:v>75.658515507822003</c:v>
                </c:pt>
                <c:pt idx="2">
                  <c:v>149.534316016752</c:v>
                </c:pt>
                <c:pt idx="3">
                  <c:v>86.137401270014436</c:v>
                </c:pt>
                <c:pt idx="4">
                  <c:v>95.572904669815458</c:v>
                </c:pt>
                <c:pt idx="5">
                  <c:v>62.70558749289232</c:v>
                </c:pt>
                <c:pt idx="6">
                  <c:v>53.911211618277662</c:v>
                </c:pt>
                <c:pt idx="7">
                  <c:v>59.857384733204299</c:v>
                </c:pt>
                <c:pt idx="8">
                  <c:v>60.846802547460669</c:v>
                </c:pt>
                <c:pt idx="9">
                  <c:v>131.52980407641198</c:v>
                </c:pt>
                <c:pt idx="10">
                  <c:v>147.90292729615416</c:v>
                </c:pt>
              </c:numCache>
            </c:numRef>
          </c:xVal>
          <c:yVal>
            <c:numRef>
              <c:f>'ANNEX F'!$J$21:$J$31</c:f>
              <c:numCache>
                <c:formatCode>0</c:formatCode>
                <c:ptCount val="11"/>
                <c:pt idx="0">
                  <c:v>32130</c:v>
                </c:pt>
                <c:pt idx="1">
                  <c:v>13910</c:v>
                </c:pt>
                <c:pt idx="2">
                  <c:v>1870</c:v>
                </c:pt>
                <c:pt idx="3">
                  <c:v>15900</c:v>
                </c:pt>
                <c:pt idx="4">
                  <c:v>10720</c:v>
                </c:pt>
                <c:pt idx="5">
                  <c:v>57850</c:v>
                </c:pt>
                <c:pt idx="6">
                  <c:v>52460</c:v>
                </c:pt>
                <c:pt idx="7">
                  <c:v>69390</c:v>
                </c:pt>
                <c:pt idx="8">
                  <c:v>64190</c:v>
                </c:pt>
                <c:pt idx="9">
                  <c:v>1720</c:v>
                </c:pt>
                <c:pt idx="10">
                  <c:v>2040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687-43CF-93E5-7EE892B3F8FE}"/>
            </c:ext>
          </c:extLst>
        </c:ser>
        <c:ser>
          <c:idx val="2"/>
          <c:order val="3"/>
          <c:tx>
            <c:strRef>
              <c:f>'ANNEX F'!$Q$35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F'!$G$32:$G$41</c:f>
              <c:numCache>
                <c:formatCode>0.0</c:formatCode>
                <c:ptCount val="10"/>
                <c:pt idx="0">
                  <c:v>95.225176943364559</c:v>
                </c:pt>
                <c:pt idx="1">
                  <c:v>128.1113473225999</c:v>
                </c:pt>
                <c:pt idx="2">
                  <c:v>100.65615885432712</c:v>
                </c:pt>
                <c:pt idx="3">
                  <c:v>140.14816645011629</c:v>
                </c:pt>
                <c:pt idx="4">
                  <c:v>72.768425248138684</c:v>
                </c:pt>
                <c:pt idx="5">
                  <c:v>96.334143003213498</c:v>
                </c:pt>
                <c:pt idx="6">
                  <c:v>182.0870557159069</c:v>
                </c:pt>
                <c:pt idx="7">
                  <c:v>83.120038322905941</c:v>
                </c:pt>
                <c:pt idx="8">
                  <c:v>135.21574924631491</c:v>
                </c:pt>
                <c:pt idx="9">
                  <c:v>58.668150110218924</c:v>
                </c:pt>
              </c:numCache>
            </c:numRef>
          </c:xVal>
          <c:yVal>
            <c:numRef>
              <c:f>'ANNEX F'!$J$32:$J$41</c:f>
              <c:numCache>
                <c:formatCode>0</c:formatCode>
                <c:ptCount val="10"/>
                <c:pt idx="0">
                  <c:v>19800</c:v>
                </c:pt>
                <c:pt idx="1">
                  <c:v>3480</c:v>
                </c:pt>
                <c:pt idx="2">
                  <c:v>18440</c:v>
                </c:pt>
                <c:pt idx="3">
                  <c:v>2860</c:v>
                </c:pt>
                <c:pt idx="4">
                  <c:v>35290</c:v>
                </c:pt>
                <c:pt idx="5">
                  <c:v>15590</c:v>
                </c:pt>
                <c:pt idx="6">
                  <c:v>3100</c:v>
                </c:pt>
                <c:pt idx="7">
                  <c:v>16190</c:v>
                </c:pt>
                <c:pt idx="8">
                  <c:v>3120</c:v>
                </c:pt>
                <c:pt idx="9">
                  <c:v>70640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687-43CF-93E5-7EE892B3F8FE}"/>
            </c:ext>
          </c:extLst>
        </c:ser>
        <c:ser>
          <c:idx val="3"/>
          <c:order val="4"/>
          <c:tx>
            <c:strRef>
              <c:f>'ANNEX F'!$Q$45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F'!$G$44:$G$51</c:f>
              <c:numCache>
                <c:formatCode>0.0</c:formatCode>
                <c:ptCount val="8"/>
                <c:pt idx="0">
                  <c:v>58.432044460230642</c:v>
                </c:pt>
                <c:pt idx="1">
                  <c:v>131.49796988000315</c:v>
                </c:pt>
                <c:pt idx="2">
                  <c:v>83.255708709336119</c:v>
                </c:pt>
                <c:pt idx="3">
                  <c:v>67.251460516611303</c:v>
                </c:pt>
                <c:pt idx="4">
                  <c:v>143.60136262414673</c:v>
                </c:pt>
                <c:pt idx="5">
                  <c:v>140.80719845840079</c:v>
                </c:pt>
                <c:pt idx="6">
                  <c:v>73.430121759207083</c:v>
                </c:pt>
                <c:pt idx="7">
                  <c:v>70.699202481567681</c:v>
                </c:pt>
              </c:numCache>
            </c:numRef>
          </c:xVal>
          <c:yVal>
            <c:numRef>
              <c:f>'ANNEX F'!$J$44:$J$51</c:f>
              <c:numCache>
                <c:formatCode>0</c:formatCode>
                <c:ptCount val="8"/>
                <c:pt idx="0">
                  <c:v>103150</c:v>
                </c:pt>
                <c:pt idx="1">
                  <c:v>2410</c:v>
                </c:pt>
                <c:pt idx="2">
                  <c:v>14370</c:v>
                </c:pt>
                <c:pt idx="3">
                  <c:v>35090</c:v>
                </c:pt>
                <c:pt idx="4">
                  <c:v>1980</c:v>
                </c:pt>
                <c:pt idx="5">
                  <c:v>2840</c:v>
                </c:pt>
                <c:pt idx="6">
                  <c:v>23040</c:v>
                </c:pt>
                <c:pt idx="7">
                  <c:v>19640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687-43CF-93E5-7EE892B3F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200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Δ</a:t>
                </a: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a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7034662418012303"/>
          <c:y val="0.32042278878156089"/>
          <c:w val="0.15737497095108485"/>
          <c:h val="0.5303642792924220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2987302956924"/>
          <c:y val="0.13333426166967643"/>
          <c:w val="0.83148063546848427"/>
          <c:h val="0.7315993964836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'ANNEX F'!$Q$4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00B050"/>
                </a:solidFill>
                <a:prstDash val="sysDash"/>
              </a:ln>
              <a:effectLst/>
            </c:spPr>
            <c:trendlineType val="power"/>
            <c:backward val="100"/>
            <c:dispRSqr val="0"/>
            <c:dispEq val="0"/>
          </c:trendline>
          <c:xVal>
            <c:numRef>
              <c:f>'ANNEX F'!$G$4:$G$12</c:f>
              <c:numCache>
                <c:formatCode>0.00</c:formatCode>
                <c:ptCount val="9"/>
                <c:pt idx="0">
                  <c:v>101.54843116104489</c:v>
                </c:pt>
                <c:pt idx="1">
                  <c:v>123.09638525132465</c:v>
                </c:pt>
                <c:pt idx="2">
                  <c:v>158.04866854391051</c:v>
                </c:pt>
                <c:pt idx="3">
                  <c:v>106.94470896414164</c:v>
                </c:pt>
                <c:pt idx="4">
                  <c:v>56.614844441852306</c:v>
                </c:pt>
                <c:pt idx="5">
                  <c:v>155.06563076013461</c:v>
                </c:pt>
                <c:pt idx="6">
                  <c:v>60.122275900112307</c:v>
                </c:pt>
                <c:pt idx="7">
                  <c:v>54.977657197971936</c:v>
                </c:pt>
                <c:pt idx="8">
                  <c:v>149.68660610655272</c:v>
                </c:pt>
              </c:numCache>
            </c:numRef>
          </c:xVal>
          <c:yVal>
            <c:numRef>
              <c:f>'ANNEX F'!$I$4:$I$12</c:f>
              <c:numCache>
                <c:formatCode>0</c:formatCode>
                <c:ptCount val="9"/>
                <c:pt idx="0">
                  <c:v>4270</c:v>
                </c:pt>
                <c:pt idx="1">
                  <c:v>4520</c:v>
                </c:pt>
                <c:pt idx="2">
                  <c:v>950</c:v>
                </c:pt>
                <c:pt idx="3">
                  <c:v>4290</c:v>
                </c:pt>
                <c:pt idx="4">
                  <c:v>44610</c:v>
                </c:pt>
                <c:pt idx="5">
                  <c:v>1480</c:v>
                </c:pt>
                <c:pt idx="6">
                  <c:v>51850</c:v>
                </c:pt>
                <c:pt idx="7">
                  <c:v>49000</c:v>
                </c:pt>
                <c:pt idx="8">
                  <c:v>1250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B8-4C57-8719-53ED79F921A1}"/>
            </c:ext>
          </c:extLst>
        </c:ser>
        <c:ser>
          <c:idx val="1"/>
          <c:order val="1"/>
          <c:tx>
            <c:strRef>
              <c:f>'ANNEX F'!$Q$13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2"/>
                </a:solidFill>
                <a:prstDash val="dash"/>
              </a:ln>
              <a:effectLst/>
            </c:spPr>
            <c:trendlineType val="power"/>
            <c:backward val="100"/>
            <c:dispRSqr val="0"/>
            <c:dispEq val="0"/>
          </c:trendline>
          <c:xVal>
            <c:numRef>
              <c:f>'ANNEX F'!$G$13:$G$20</c:f>
              <c:numCache>
                <c:formatCode>0.0</c:formatCode>
                <c:ptCount val="8"/>
                <c:pt idx="0">
                  <c:v>85.488460584620441</c:v>
                </c:pt>
                <c:pt idx="1">
                  <c:v>95.038901659819828</c:v>
                </c:pt>
                <c:pt idx="2">
                  <c:v>89.262579738930796</c:v>
                </c:pt>
                <c:pt idx="3">
                  <c:v>146.43494466141726</c:v>
                </c:pt>
                <c:pt idx="4">
                  <c:v>154.0632769135932</c:v>
                </c:pt>
                <c:pt idx="5">
                  <c:v>151.92726487361062</c:v>
                </c:pt>
                <c:pt idx="6">
                  <c:v>56.318002552050849</c:v>
                </c:pt>
                <c:pt idx="7">
                  <c:v>56.077014630934009</c:v>
                </c:pt>
              </c:numCache>
            </c:numRef>
          </c:xVal>
          <c:yVal>
            <c:numRef>
              <c:f>'ANNEX F'!$I$13:$I$20</c:f>
              <c:numCache>
                <c:formatCode>0</c:formatCode>
                <c:ptCount val="8"/>
                <c:pt idx="0">
                  <c:v>11990</c:v>
                </c:pt>
                <c:pt idx="1">
                  <c:v>9650</c:v>
                </c:pt>
                <c:pt idx="2">
                  <c:v>10150</c:v>
                </c:pt>
                <c:pt idx="3">
                  <c:v>1490</c:v>
                </c:pt>
                <c:pt idx="4">
                  <c:v>1220</c:v>
                </c:pt>
                <c:pt idx="5">
                  <c:v>1450</c:v>
                </c:pt>
                <c:pt idx="6">
                  <c:v>49800</c:v>
                </c:pt>
                <c:pt idx="7">
                  <c:v>55850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DB8-4C57-8719-53ED79F921A1}"/>
            </c:ext>
          </c:extLst>
        </c:ser>
        <c:ser>
          <c:idx val="4"/>
          <c:order val="2"/>
          <c:tx>
            <c:strRef>
              <c:f>'ANNEX F'!$Q$21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dashDot"/>
              </a:ln>
              <a:effectLst/>
            </c:spPr>
            <c:trendlineType val="power"/>
            <c:backward val="100"/>
            <c:dispRSqr val="0"/>
            <c:dispEq val="0"/>
          </c:trendline>
          <c:xVal>
            <c:numRef>
              <c:f>'ANNEX F'!$G$21:$G$31</c:f>
              <c:numCache>
                <c:formatCode>0.0</c:formatCode>
                <c:ptCount val="11"/>
                <c:pt idx="0">
                  <c:v>61.496996325025471</c:v>
                </c:pt>
                <c:pt idx="1">
                  <c:v>75.658515507822003</c:v>
                </c:pt>
                <c:pt idx="2">
                  <c:v>149.534316016752</c:v>
                </c:pt>
                <c:pt idx="3">
                  <c:v>86.137401270014436</c:v>
                </c:pt>
                <c:pt idx="4">
                  <c:v>95.572904669815458</c:v>
                </c:pt>
                <c:pt idx="5">
                  <c:v>62.70558749289232</c:v>
                </c:pt>
                <c:pt idx="6">
                  <c:v>53.911211618277662</c:v>
                </c:pt>
                <c:pt idx="7">
                  <c:v>59.857384733204299</c:v>
                </c:pt>
                <c:pt idx="8">
                  <c:v>60.846802547460669</c:v>
                </c:pt>
                <c:pt idx="9">
                  <c:v>131.52980407641198</c:v>
                </c:pt>
                <c:pt idx="10">
                  <c:v>147.90292729615416</c:v>
                </c:pt>
              </c:numCache>
            </c:numRef>
          </c:xVal>
          <c:yVal>
            <c:numRef>
              <c:f>'ANNEX F'!$I$21:$I$31</c:f>
              <c:numCache>
                <c:formatCode>0</c:formatCode>
                <c:ptCount val="11"/>
                <c:pt idx="0">
                  <c:v>23770</c:v>
                </c:pt>
                <c:pt idx="1">
                  <c:v>10070</c:v>
                </c:pt>
                <c:pt idx="2">
                  <c:v>1350</c:v>
                </c:pt>
                <c:pt idx="3">
                  <c:v>10200</c:v>
                </c:pt>
                <c:pt idx="4">
                  <c:v>7890</c:v>
                </c:pt>
                <c:pt idx="5">
                  <c:v>43240</c:v>
                </c:pt>
                <c:pt idx="6">
                  <c:v>38840</c:v>
                </c:pt>
                <c:pt idx="7">
                  <c:v>48040</c:v>
                </c:pt>
                <c:pt idx="8">
                  <c:v>48390</c:v>
                </c:pt>
                <c:pt idx="9">
                  <c:v>1140</c:v>
                </c:pt>
                <c:pt idx="10">
                  <c:v>1490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DB8-4C57-8719-53ED79F921A1}"/>
            </c:ext>
          </c:extLst>
        </c:ser>
        <c:ser>
          <c:idx val="2"/>
          <c:order val="3"/>
          <c:tx>
            <c:strRef>
              <c:f>'ANNEX F'!$Q$35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3"/>
                </a:solidFill>
                <a:prstDash val="lgDash"/>
              </a:ln>
              <a:effectLst/>
            </c:spPr>
            <c:trendlineType val="power"/>
            <c:backward val="100"/>
            <c:dispRSqr val="0"/>
            <c:dispEq val="0"/>
          </c:trendline>
          <c:xVal>
            <c:numRef>
              <c:f>'ANNEX F'!$G$32:$G$43</c:f>
              <c:numCache>
                <c:formatCode>0.0</c:formatCode>
                <c:ptCount val="12"/>
                <c:pt idx="0">
                  <c:v>95.225176943364559</c:v>
                </c:pt>
                <c:pt idx="1">
                  <c:v>128.1113473225999</c:v>
                </c:pt>
                <c:pt idx="2">
                  <c:v>100.65615885432712</c:v>
                </c:pt>
                <c:pt idx="3">
                  <c:v>140.14816645011629</c:v>
                </c:pt>
                <c:pt idx="4">
                  <c:v>72.768425248138684</c:v>
                </c:pt>
                <c:pt idx="5">
                  <c:v>96.334143003213498</c:v>
                </c:pt>
                <c:pt idx="6">
                  <c:v>182.0870557159069</c:v>
                </c:pt>
                <c:pt idx="7">
                  <c:v>83.120038322905941</c:v>
                </c:pt>
                <c:pt idx="8">
                  <c:v>135.21574924631491</c:v>
                </c:pt>
                <c:pt idx="9">
                  <c:v>58.668150110218924</c:v>
                </c:pt>
                <c:pt idx="10">
                  <c:v>53.840305140886954</c:v>
                </c:pt>
                <c:pt idx="11">
                  <c:v>50.197979994310053</c:v>
                </c:pt>
              </c:numCache>
            </c:numRef>
          </c:xVal>
          <c:yVal>
            <c:numRef>
              <c:f>'ANNEX F'!$I$32:$I$43</c:f>
              <c:numCache>
                <c:formatCode>0</c:formatCode>
                <c:ptCount val="12"/>
                <c:pt idx="0">
                  <c:v>15190</c:v>
                </c:pt>
                <c:pt idx="1">
                  <c:v>2820</c:v>
                </c:pt>
                <c:pt idx="2">
                  <c:v>13210</c:v>
                </c:pt>
                <c:pt idx="3">
                  <c:v>1940</c:v>
                </c:pt>
                <c:pt idx="4">
                  <c:v>22890</c:v>
                </c:pt>
                <c:pt idx="5">
                  <c:v>12200</c:v>
                </c:pt>
                <c:pt idx="6">
                  <c:v>2050</c:v>
                </c:pt>
                <c:pt idx="7">
                  <c:v>10210</c:v>
                </c:pt>
                <c:pt idx="8">
                  <c:v>2060</c:v>
                </c:pt>
                <c:pt idx="9">
                  <c:v>48970</c:v>
                </c:pt>
                <c:pt idx="10">
                  <c:v>79600</c:v>
                </c:pt>
                <c:pt idx="11">
                  <c:v>112110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DB8-4C57-8719-53ED79F921A1}"/>
            </c:ext>
          </c:extLst>
        </c:ser>
        <c:ser>
          <c:idx val="3"/>
          <c:order val="4"/>
          <c:tx>
            <c:strRef>
              <c:f>'ANNEX F'!$Q$45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accent4"/>
                </a:solidFill>
                <a:prstDash val="lgDash"/>
              </a:ln>
              <a:effectLst/>
            </c:spPr>
            <c:trendlineType val="power"/>
            <c:backward val="100"/>
            <c:dispRSqr val="0"/>
            <c:dispEq val="0"/>
          </c:trendline>
          <c:xVal>
            <c:numRef>
              <c:f>'ANNEX F'!$G$44:$G$51</c:f>
              <c:numCache>
                <c:formatCode>0.0</c:formatCode>
                <c:ptCount val="8"/>
                <c:pt idx="0">
                  <c:v>58.432044460230642</c:v>
                </c:pt>
                <c:pt idx="1">
                  <c:v>131.49796988000315</c:v>
                </c:pt>
                <c:pt idx="2">
                  <c:v>83.255708709336119</c:v>
                </c:pt>
                <c:pt idx="3">
                  <c:v>67.251460516611303</c:v>
                </c:pt>
                <c:pt idx="4">
                  <c:v>143.60136262414673</c:v>
                </c:pt>
                <c:pt idx="5">
                  <c:v>140.80719845840079</c:v>
                </c:pt>
                <c:pt idx="6">
                  <c:v>73.430121759207083</c:v>
                </c:pt>
                <c:pt idx="7">
                  <c:v>70.699202481567681</c:v>
                </c:pt>
              </c:numCache>
            </c:numRef>
          </c:xVal>
          <c:yVal>
            <c:numRef>
              <c:f>'ANNEX F'!$I$44:$I$51</c:f>
              <c:numCache>
                <c:formatCode>0</c:formatCode>
                <c:ptCount val="8"/>
                <c:pt idx="0">
                  <c:v>78360</c:v>
                </c:pt>
                <c:pt idx="1">
                  <c:v>1710</c:v>
                </c:pt>
                <c:pt idx="2">
                  <c:v>9090</c:v>
                </c:pt>
                <c:pt idx="3">
                  <c:v>23800</c:v>
                </c:pt>
                <c:pt idx="4">
                  <c:v>1370</c:v>
                </c:pt>
                <c:pt idx="5">
                  <c:v>2000</c:v>
                </c:pt>
                <c:pt idx="6">
                  <c:v>15810</c:v>
                </c:pt>
                <c:pt idx="7">
                  <c:v>13120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DB8-4C57-8719-53ED79F921A1}"/>
            </c:ext>
          </c:extLst>
        </c:ser>
        <c:ser>
          <c:idx val="5"/>
          <c:order val="5"/>
          <c:spPr>
            <a:ln w="1270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('ANNEX F'!$Q$91,'ANNEX F'!$Q$91)</c:f>
              <c:numCache>
                <c:formatCode>General</c:formatCode>
                <c:ptCount val="2"/>
                <c:pt idx="0">
                  <c:v>180</c:v>
                </c:pt>
                <c:pt idx="1">
                  <c:v>180</c:v>
                </c:pt>
              </c:numCache>
            </c:numRef>
          </c:xVal>
          <c:yVal>
            <c:numRef>
              <c:f>('ANNEX F'!$P$91,'ANNEX F'!$P$92)</c:f>
              <c:numCache>
                <c:formatCode>General</c:formatCode>
                <c:ptCount val="2"/>
                <c:pt idx="0">
                  <c:v>100</c:v>
                </c:pt>
                <c:pt idx="1">
                  <c:v>1000000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DB8-4C57-8719-53ED79F921A1}"/>
            </c:ext>
          </c:extLst>
        </c:ser>
        <c:ser>
          <c:idx val="6"/>
          <c:order val="6"/>
          <c:spPr>
            <a:ln w="1270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('ANNEX F'!$Q$92,'ANNEX F'!$Q$92)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xVal>
          <c:yVal>
            <c:numRef>
              <c:f>('ANNEX F'!$P$91,'ANNEX F'!$P$92)</c:f>
              <c:numCache>
                <c:formatCode>General</c:formatCode>
                <c:ptCount val="2"/>
                <c:pt idx="0">
                  <c:v>100</c:v>
                </c:pt>
                <c:pt idx="1">
                  <c:v>1000000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DB8-4C57-8719-53ED79F92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200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Δ</a:t>
                </a: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a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layout>
            <c:manualLayout>
              <c:xMode val="edge"/>
              <c:yMode val="edge"/>
              <c:x val="0.46984052292435047"/>
              <c:y val="0.886136038139014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ax val="10000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23991566552094351"/>
          <c:y val="0.93566780235760239"/>
          <c:w val="0.54408653095288728"/>
          <c:h val="4.3642543874386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</a:t>
            </a:r>
            <a:r>
              <a:rPr lang="en-US" sz="1800" b="1" baseline="-25000"/>
              <a:t>f, 50%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92987302956924"/>
          <c:y val="0.13333426166967643"/>
          <c:w val="0.83148063546848427"/>
          <c:h val="0.73159939648365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'ANNEX E'!$Q$4</c:f>
              <c:strCache>
                <c:ptCount val="1"/>
                <c:pt idx="0">
                  <c:v>ACR Sp_20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lg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E'!$G$6:$G$10</c:f>
              <c:numCache>
                <c:formatCode>0.0</c:formatCode>
                <c:ptCount val="5"/>
                <c:pt idx="0">
                  <c:v>270.3565142468031</c:v>
                </c:pt>
                <c:pt idx="1">
                  <c:v>218.9301355424972</c:v>
                </c:pt>
                <c:pt idx="2">
                  <c:v>181.18235200192152</c:v>
                </c:pt>
                <c:pt idx="3">
                  <c:v>170.17507265261514</c:v>
                </c:pt>
                <c:pt idx="4">
                  <c:v>89.072355262648344</c:v>
                </c:pt>
              </c:numCache>
            </c:numRef>
          </c:xVal>
          <c:yVal>
            <c:numRef>
              <c:f>'ANNEX E'!$H$6:$H$10</c:f>
              <c:numCache>
                <c:formatCode>0</c:formatCode>
                <c:ptCount val="5"/>
                <c:pt idx="0">
                  <c:v>2568</c:v>
                </c:pt>
                <c:pt idx="1">
                  <c:v>2266</c:v>
                </c:pt>
                <c:pt idx="2">
                  <c:v>3422</c:v>
                </c:pt>
                <c:pt idx="3">
                  <c:v>5827</c:v>
                </c:pt>
                <c:pt idx="4">
                  <c:v>76735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9D-4FF2-ADD9-E418F0683C87}"/>
            </c:ext>
          </c:extLst>
        </c:ser>
        <c:ser>
          <c:idx val="1"/>
          <c:order val="1"/>
          <c:tx>
            <c:strRef>
              <c:f>'ANNEX E'!$Q$10</c:f>
              <c:strCache>
                <c:ptCount val="1"/>
                <c:pt idx="0">
                  <c:v>ACR PmB_20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E'!$G$11:$G$15</c:f>
              <c:numCache>
                <c:formatCode>0.0</c:formatCode>
                <c:ptCount val="5"/>
                <c:pt idx="0">
                  <c:v>274.88475283729576</c:v>
                </c:pt>
                <c:pt idx="1">
                  <c:v>105.02228085395753</c:v>
                </c:pt>
                <c:pt idx="2">
                  <c:v>111.68059274613702</c:v>
                </c:pt>
                <c:pt idx="3">
                  <c:v>213.92719279282133</c:v>
                </c:pt>
                <c:pt idx="4">
                  <c:v>273.66221398865548</c:v>
                </c:pt>
              </c:numCache>
            </c:numRef>
          </c:xVal>
          <c:yVal>
            <c:numRef>
              <c:f>'ANNEX E'!$H$11:$H$15</c:f>
              <c:numCache>
                <c:formatCode>0</c:formatCode>
                <c:ptCount val="5"/>
                <c:pt idx="0">
                  <c:v>1924</c:v>
                </c:pt>
                <c:pt idx="1">
                  <c:v>74415</c:v>
                </c:pt>
                <c:pt idx="2">
                  <c:v>33367</c:v>
                </c:pt>
                <c:pt idx="3">
                  <c:v>6639</c:v>
                </c:pt>
                <c:pt idx="4">
                  <c:v>1804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19D-4FF2-ADD9-E418F0683C87}"/>
            </c:ext>
          </c:extLst>
        </c:ser>
        <c:ser>
          <c:idx val="4"/>
          <c:order val="2"/>
          <c:tx>
            <c:strRef>
              <c:f>'ANNEX E'!$Q$16</c:f>
              <c:strCache>
                <c:ptCount val="1"/>
                <c:pt idx="0">
                  <c:v>ACR Ref_20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E'!$G$17:$G$21</c:f>
              <c:numCache>
                <c:formatCode>0.0</c:formatCode>
                <c:ptCount val="5"/>
                <c:pt idx="0">
                  <c:v>99.399084676108416</c:v>
                </c:pt>
                <c:pt idx="1">
                  <c:v>227.52962444998312</c:v>
                </c:pt>
                <c:pt idx="2">
                  <c:v>236.74347280731513</c:v>
                </c:pt>
                <c:pt idx="3">
                  <c:v>145.09705352687868</c:v>
                </c:pt>
                <c:pt idx="4">
                  <c:v>216.93955140937106</c:v>
                </c:pt>
              </c:numCache>
            </c:numRef>
          </c:xVal>
          <c:yVal>
            <c:numRef>
              <c:f>'ANNEX E'!$H$17:$H$21</c:f>
              <c:numCache>
                <c:formatCode>0</c:formatCode>
                <c:ptCount val="5"/>
                <c:pt idx="0">
                  <c:v>34539</c:v>
                </c:pt>
                <c:pt idx="1">
                  <c:v>1818</c:v>
                </c:pt>
                <c:pt idx="2">
                  <c:v>2104</c:v>
                </c:pt>
                <c:pt idx="3">
                  <c:v>7224</c:v>
                </c:pt>
                <c:pt idx="4">
                  <c:v>4985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19D-4FF2-ADD9-E418F0683C87}"/>
            </c:ext>
          </c:extLst>
        </c:ser>
        <c:ser>
          <c:idx val="2"/>
          <c:order val="3"/>
          <c:tx>
            <c:strRef>
              <c:f>'ANNEX E'!$Q$22</c:f>
              <c:strCache>
                <c:ptCount val="1"/>
                <c:pt idx="0">
                  <c:v>ACR Sp_50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lgDash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E'!$G$22:$G$28</c:f>
              <c:numCache>
                <c:formatCode>0.0</c:formatCode>
                <c:ptCount val="7"/>
                <c:pt idx="0">
                  <c:v>127.23317695944992</c:v>
                </c:pt>
                <c:pt idx="1">
                  <c:v>356.48445204566923</c:v>
                </c:pt>
                <c:pt idx="2">
                  <c:v>243.95159537733326</c:v>
                </c:pt>
                <c:pt idx="3">
                  <c:v>149.6560947021207</c:v>
                </c:pt>
                <c:pt idx="4">
                  <c:v>83.956277262313918</c:v>
                </c:pt>
                <c:pt idx="5">
                  <c:v>301.29716656169524</c:v>
                </c:pt>
                <c:pt idx="6">
                  <c:v>120.24127946465353</c:v>
                </c:pt>
              </c:numCache>
            </c:numRef>
          </c:xVal>
          <c:yVal>
            <c:numRef>
              <c:f>'ANNEX E'!$H$22:$H$28</c:f>
              <c:numCache>
                <c:formatCode>0</c:formatCode>
                <c:ptCount val="7"/>
                <c:pt idx="0">
                  <c:v>14070</c:v>
                </c:pt>
                <c:pt idx="1">
                  <c:v>1451</c:v>
                </c:pt>
                <c:pt idx="2">
                  <c:v>3226</c:v>
                </c:pt>
                <c:pt idx="3">
                  <c:v>7060</c:v>
                </c:pt>
                <c:pt idx="4">
                  <c:v>58209</c:v>
                </c:pt>
                <c:pt idx="5">
                  <c:v>1307</c:v>
                </c:pt>
                <c:pt idx="6">
                  <c:v>11929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2BD-4F92-89E0-532CB75709E9}"/>
            </c:ext>
          </c:extLst>
        </c:ser>
        <c:ser>
          <c:idx val="3"/>
          <c:order val="4"/>
          <c:tx>
            <c:strRef>
              <c:f>'ANNEX E'!$Q$28</c:f>
              <c:strCache>
                <c:ptCount val="1"/>
                <c:pt idx="0">
                  <c:v>ACR PmB_50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'ANNEX E'!$G$27:$G$31</c:f>
              <c:numCache>
                <c:formatCode>0.0</c:formatCode>
                <c:ptCount val="5"/>
                <c:pt idx="0">
                  <c:v>301.29716656169524</c:v>
                </c:pt>
                <c:pt idx="1">
                  <c:v>120.24127946465353</c:v>
                </c:pt>
                <c:pt idx="2">
                  <c:v>98.727658266813009</c:v>
                </c:pt>
                <c:pt idx="3">
                  <c:v>191.08899818587605</c:v>
                </c:pt>
                <c:pt idx="4">
                  <c:v>102.01664292322781</c:v>
                </c:pt>
              </c:numCache>
            </c:numRef>
          </c:xVal>
          <c:yVal>
            <c:numRef>
              <c:f>'ANNEX E'!$H$27:$H$31</c:f>
              <c:numCache>
                <c:formatCode>0</c:formatCode>
                <c:ptCount val="5"/>
                <c:pt idx="0">
                  <c:v>1307</c:v>
                </c:pt>
                <c:pt idx="1">
                  <c:v>11929</c:v>
                </c:pt>
                <c:pt idx="2">
                  <c:v>33112</c:v>
                </c:pt>
                <c:pt idx="3">
                  <c:v>5452</c:v>
                </c:pt>
                <c:pt idx="4">
                  <c:v>28509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2BD-4F92-89E0-532CB7570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251791"/>
        <c:axId val="1266242671"/>
      </c:scatterChart>
      <c:valAx>
        <c:axId val="1266251791"/>
        <c:scaling>
          <c:logBase val="10"/>
          <c:orientation val="minMax"/>
          <c:max val="40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>
                    <a:latin typeface="Aptos Narrow" panose="020B000402020202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Δ</a:t>
                </a:r>
                <a:r>
                  <a:rPr lang="el-GR" b="1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ε</a:t>
                </a:r>
                <a:r>
                  <a:rPr lang="it-IT" b="1" baseline="-2500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0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 [</a:t>
                </a:r>
                <a:r>
                  <a:rPr lang="el-GR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it-IT" b="1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m/m]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42671"/>
        <c:crosses val="autoZero"/>
        <c:crossBetween val="midCat"/>
      </c:valAx>
      <c:valAx>
        <c:axId val="1266242671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N</a:t>
                </a:r>
                <a:r>
                  <a:rPr lang="it-IT" b="1" baseline="-25000"/>
                  <a:t>f</a:t>
                </a:r>
                <a:r>
                  <a:rPr lang="it-IT" b="1" baseline="0"/>
                  <a:t> [-]</a:t>
                </a:r>
                <a:endParaRPr lang="it-IT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6251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5164372992764022"/>
          <c:y val="0.53321167754723153"/>
          <c:w val="0.1232975772297976"/>
          <c:h val="0.25068163874024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13" Type="http://schemas.openxmlformats.org/officeDocument/2006/relationships/chart" Target="../charts/chart21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12" Type="http://schemas.openxmlformats.org/officeDocument/2006/relationships/chart" Target="../charts/chart20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11" Type="http://schemas.openxmlformats.org/officeDocument/2006/relationships/chart" Target="../charts/chart19.xml"/><Relationship Id="rId5" Type="http://schemas.openxmlformats.org/officeDocument/2006/relationships/chart" Target="../charts/chart13.xml"/><Relationship Id="rId10" Type="http://schemas.openxmlformats.org/officeDocument/2006/relationships/chart" Target="../charts/chart18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Relationship Id="rId14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image" Target="../media/image1.png"/><Relationship Id="rId1" Type="http://schemas.openxmlformats.org/officeDocument/2006/relationships/chart" Target="../charts/chart30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568036</xdr:colOff>
      <xdr:row>61</xdr:row>
      <xdr:rowOff>138544</xdr:rowOff>
    </xdr:from>
    <xdr:to>
      <xdr:col>11</xdr:col>
      <xdr:colOff>157760</xdr:colOff>
      <xdr:row>84</xdr:row>
      <xdr:rowOff>28419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B16DB05-3CB2-43A9-BB95-B92B22AA98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62730</xdr:colOff>
      <xdr:row>1</xdr:row>
      <xdr:rowOff>124309</xdr:rowOff>
    </xdr:from>
    <xdr:to>
      <xdr:col>44</xdr:col>
      <xdr:colOff>367530</xdr:colOff>
      <xdr:row>15</xdr:row>
      <xdr:rowOff>113533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41EEDF50-2690-0EFD-2BFC-7508AE961B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3463</xdr:colOff>
      <xdr:row>1</xdr:row>
      <xdr:rowOff>114299</xdr:rowOff>
    </xdr:from>
    <xdr:to>
      <xdr:col>36</xdr:col>
      <xdr:colOff>308263</xdr:colOff>
      <xdr:row>15</xdr:row>
      <xdr:rowOff>100445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CC56F52B-900C-F5A1-C0EC-674AD461C8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0</xdr:colOff>
      <xdr:row>62</xdr:row>
      <xdr:rowOff>0</xdr:rowOff>
    </xdr:from>
    <xdr:to>
      <xdr:col>45</xdr:col>
      <xdr:colOff>402524</xdr:colOff>
      <xdr:row>84</xdr:row>
      <xdr:rowOff>76142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2B537DD9-27C6-456A-9F32-2D3B383EC4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46</xdr:col>
      <xdr:colOff>203200</xdr:colOff>
      <xdr:row>62</xdr:row>
      <xdr:rowOff>0</xdr:rowOff>
    </xdr:from>
    <xdr:to>
      <xdr:col>57</xdr:col>
      <xdr:colOff>387818</xdr:colOff>
      <xdr:row>84</xdr:row>
      <xdr:rowOff>49472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D35AAC67-0B5B-4F19-B2EB-5A0B8D7CC2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57</xdr:col>
      <xdr:colOff>381000</xdr:colOff>
      <xdr:row>62</xdr:row>
      <xdr:rowOff>0</xdr:rowOff>
    </xdr:from>
    <xdr:to>
      <xdr:col>68</xdr:col>
      <xdr:colOff>83820</xdr:colOff>
      <xdr:row>84</xdr:row>
      <xdr:rowOff>49818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5D84D0B4-39E4-43E4-A8BF-59B6F73BF3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0</xdr:colOff>
      <xdr:row>62</xdr:row>
      <xdr:rowOff>0</xdr:rowOff>
    </xdr:from>
    <xdr:to>
      <xdr:col>34</xdr:col>
      <xdr:colOff>15285</xdr:colOff>
      <xdr:row>84</xdr:row>
      <xdr:rowOff>49472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18BB3E8E-B911-4081-BB3F-1456AC7C7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541864</xdr:colOff>
      <xdr:row>16</xdr:row>
      <xdr:rowOff>127002</xdr:rowOff>
    </xdr:from>
    <xdr:to>
      <xdr:col>41</xdr:col>
      <xdr:colOff>50797</xdr:colOff>
      <xdr:row>41</xdr:row>
      <xdr:rowOff>143936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8D70F21A-C1C0-4FE2-A3A1-F67C084B77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464820</xdr:colOff>
      <xdr:row>20</xdr:row>
      <xdr:rowOff>9218</xdr:rowOff>
    </xdr:from>
    <xdr:to>
      <xdr:col>46</xdr:col>
      <xdr:colOff>138364</xdr:colOff>
      <xdr:row>42</xdr:row>
      <xdr:rowOff>9023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A330E99-8CB7-4B0C-B8E6-ABD890F2DB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342900</xdr:colOff>
      <xdr:row>20</xdr:row>
      <xdr:rowOff>53340</xdr:rowOff>
    </xdr:from>
    <xdr:to>
      <xdr:col>57</xdr:col>
      <xdr:colOff>115504</xdr:colOff>
      <xdr:row>42</xdr:row>
      <xdr:rowOff>53145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EB4698E0-76AD-428B-A98F-AB1FA716B1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445770</xdr:colOff>
      <xdr:row>3</xdr:row>
      <xdr:rowOff>43815</xdr:rowOff>
    </xdr:from>
    <xdr:to>
      <xdr:col>50</xdr:col>
      <xdr:colOff>140970</xdr:colOff>
      <xdr:row>16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B0D3D19-124A-4D3F-9F1B-6F9B0C8EE2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533400</xdr:colOff>
      <xdr:row>2</xdr:row>
      <xdr:rowOff>128588</xdr:rowOff>
    </xdr:from>
    <xdr:to>
      <xdr:col>41</xdr:col>
      <xdr:colOff>228600</xdr:colOff>
      <xdr:row>16</xdr:row>
      <xdr:rowOff>4763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7E0228E-069A-5CEB-DE26-31B0C9A49A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58</xdr:col>
      <xdr:colOff>0</xdr:colOff>
      <xdr:row>20</xdr:row>
      <xdr:rowOff>16838</xdr:rowOff>
    </xdr:from>
    <xdr:to>
      <xdr:col>68</xdr:col>
      <xdr:colOff>283144</xdr:colOff>
      <xdr:row>42</xdr:row>
      <xdr:rowOff>16643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516DAD1-DECC-421A-9DC7-EBA902FFA0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350520</xdr:colOff>
      <xdr:row>20</xdr:row>
      <xdr:rowOff>7620</xdr:rowOff>
    </xdr:from>
    <xdr:to>
      <xdr:col>78</xdr:col>
      <xdr:colOff>549844</xdr:colOff>
      <xdr:row>42</xdr:row>
      <xdr:rowOff>7425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69F43779-4372-42D5-81F4-B9BA9B702F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78</xdr:col>
      <xdr:colOff>594360</xdr:colOff>
      <xdr:row>20</xdr:row>
      <xdr:rowOff>0</xdr:rowOff>
    </xdr:from>
    <xdr:to>
      <xdr:col>89</xdr:col>
      <xdr:colOff>366964</xdr:colOff>
      <xdr:row>41</xdr:row>
      <xdr:rowOff>182685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1BF01B73-0F3C-45E7-BFBD-5C0566224B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58</xdr:col>
      <xdr:colOff>0</xdr:colOff>
      <xdr:row>43</xdr:row>
      <xdr:rowOff>16838</xdr:rowOff>
    </xdr:from>
    <xdr:to>
      <xdr:col>68</xdr:col>
      <xdr:colOff>283144</xdr:colOff>
      <xdr:row>66</xdr:row>
      <xdr:rowOff>54743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2C4B353F-2EB3-4552-8102-74A967A876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68</xdr:col>
      <xdr:colOff>350520</xdr:colOff>
      <xdr:row>43</xdr:row>
      <xdr:rowOff>7620</xdr:rowOff>
    </xdr:from>
    <xdr:to>
      <xdr:col>78</xdr:col>
      <xdr:colOff>549844</xdr:colOff>
      <xdr:row>66</xdr:row>
      <xdr:rowOff>45525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AF3D5AB0-3EE4-46AA-917A-E407E0CDA0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78</xdr:col>
      <xdr:colOff>594360</xdr:colOff>
      <xdr:row>43</xdr:row>
      <xdr:rowOff>0</xdr:rowOff>
    </xdr:from>
    <xdr:to>
      <xdr:col>89</xdr:col>
      <xdr:colOff>366964</xdr:colOff>
      <xdr:row>66</xdr:row>
      <xdr:rowOff>37905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6B8D5A5-EF6D-4D2E-B201-41E8388039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58</xdr:col>
      <xdr:colOff>0</xdr:colOff>
      <xdr:row>67</xdr:row>
      <xdr:rowOff>16838</xdr:rowOff>
    </xdr:from>
    <xdr:to>
      <xdr:col>68</xdr:col>
      <xdr:colOff>283144</xdr:colOff>
      <xdr:row>90</xdr:row>
      <xdr:rowOff>54743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2FC426F6-0F4D-4756-BD31-B2BB62DF98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68</xdr:col>
      <xdr:colOff>350520</xdr:colOff>
      <xdr:row>67</xdr:row>
      <xdr:rowOff>7620</xdr:rowOff>
    </xdr:from>
    <xdr:to>
      <xdr:col>78</xdr:col>
      <xdr:colOff>549844</xdr:colOff>
      <xdr:row>90</xdr:row>
      <xdr:rowOff>45525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5DC72B75-5F04-4EF7-8BE1-21A55437AE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78</xdr:col>
      <xdr:colOff>594360</xdr:colOff>
      <xdr:row>67</xdr:row>
      <xdr:rowOff>0</xdr:rowOff>
    </xdr:from>
    <xdr:to>
      <xdr:col>89</xdr:col>
      <xdr:colOff>366964</xdr:colOff>
      <xdr:row>90</xdr:row>
      <xdr:rowOff>37905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C5ECF5FD-5038-4B79-BABE-CD98B0A40F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25</xdr:col>
      <xdr:colOff>403860</xdr:colOff>
      <xdr:row>19</xdr:row>
      <xdr:rowOff>91440</xdr:rowOff>
    </xdr:from>
    <xdr:to>
      <xdr:col>36</xdr:col>
      <xdr:colOff>251460</xdr:colOff>
      <xdr:row>46</xdr:row>
      <xdr:rowOff>121920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376AF8F7-090A-412F-8812-1800BACF56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2</xdr:row>
      <xdr:rowOff>0</xdr:rowOff>
    </xdr:from>
    <xdr:to>
      <xdr:col>28</xdr:col>
      <xdr:colOff>506384</xdr:colOff>
      <xdr:row>20</xdr:row>
      <xdr:rowOff>66848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62180F2B-F45C-4D2C-A25C-A41B4CF61B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0</xdr:colOff>
      <xdr:row>1</xdr:row>
      <xdr:rowOff>182880</xdr:rowOff>
    </xdr:from>
    <xdr:to>
      <xdr:col>38</xdr:col>
      <xdr:colOff>506384</xdr:colOff>
      <xdr:row>20</xdr:row>
      <xdr:rowOff>59228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ED973C94-BA75-4AA6-A805-C84BCF503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21</xdr:row>
      <xdr:rowOff>7620</xdr:rowOff>
    </xdr:from>
    <xdr:to>
      <xdr:col>28</xdr:col>
      <xdr:colOff>506384</xdr:colOff>
      <xdr:row>39</xdr:row>
      <xdr:rowOff>135428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173A85B4-14C8-4B01-BF8D-D37C00262F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0</xdr:colOff>
      <xdr:row>21</xdr:row>
      <xdr:rowOff>0</xdr:rowOff>
    </xdr:from>
    <xdr:to>
      <xdr:col>38</xdr:col>
      <xdr:colOff>506384</xdr:colOff>
      <xdr:row>39</xdr:row>
      <xdr:rowOff>127808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41A0BDB5-2EE8-43B2-9C58-5C1749B118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0</xdr:colOff>
      <xdr:row>40</xdr:row>
      <xdr:rowOff>7620</xdr:rowOff>
    </xdr:from>
    <xdr:to>
      <xdr:col>28</xdr:col>
      <xdr:colOff>506384</xdr:colOff>
      <xdr:row>59</xdr:row>
      <xdr:rowOff>158288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DEFC742F-A10F-4862-ABD9-1DA42255F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0</xdr:colOff>
      <xdr:row>40</xdr:row>
      <xdr:rowOff>0</xdr:rowOff>
    </xdr:from>
    <xdr:to>
      <xdr:col>38</xdr:col>
      <xdr:colOff>506384</xdr:colOff>
      <xdr:row>59</xdr:row>
      <xdr:rowOff>150668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FE9770AF-35ED-4619-917C-0D2D676028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609599</xdr:colOff>
      <xdr:row>39</xdr:row>
      <xdr:rowOff>0</xdr:rowOff>
    </xdr:from>
    <xdr:to>
      <xdr:col>12</xdr:col>
      <xdr:colOff>389466</xdr:colOff>
      <xdr:row>60</xdr:row>
      <xdr:rowOff>8466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C752F8F-6C1A-44D5-A882-0F26A24054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411480</xdr:colOff>
      <xdr:row>14</xdr:row>
      <xdr:rowOff>175260</xdr:rowOff>
    </xdr:from>
    <xdr:to>
      <xdr:col>23</xdr:col>
      <xdr:colOff>198120</xdr:colOff>
      <xdr:row>33</xdr:row>
      <xdr:rowOff>7620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B51874B-4305-4422-A915-890F90D76E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35214</xdr:colOff>
      <xdr:row>5</xdr:row>
      <xdr:rowOff>123537</xdr:rowOff>
    </xdr:from>
    <xdr:to>
      <xdr:col>9</xdr:col>
      <xdr:colOff>240855</xdr:colOff>
      <xdr:row>13</xdr:row>
      <xdr:rowOff>136454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D1F2773-B37C-49B4-98D2-C8F63C5AC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68469" y="1065646"/>
          <a:ext cx="3253641" cy="1453790"/>
        </a:xfrm>
        <a:prstGeom prst="rect">
          <a:avLst/>
        </a:prstGeom>
      </xdr:spPr>
    </xdr:pic>
    <xdr:clientData/>
  </xdr:twoCellAnchor>
  <xdr:twoCellAnchor>
    <xdr:from>
      <xdr:col>23</xdr:col>
      <xdr:colOff>277091</xdr:colOff>
      <xdr:row>14</xdr:row>
      <xdr:rowOff>200890</xdr:rowOff>
    </xdr:from>
    <xdr:to>
      <xdr:col>32</xdr:col>
      <xdr:colOff>415639</xdr:colOff>
      <xdr:row>33</xdr:row>
      <xdr:rowOff>6926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AB929DAE-8CC0-46F7-AB5A-E2F3D6F4F7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512618</xdr:colOff>
      <xdr:row>15</xdr:row>
      <xdr:rowOff>6927</xdr:rowOff>
    </xdr:from>
    <xdr:to>
      <xdr:col>40</xdr:col>
      <xdr:colOff>554184</xdr:colOff>
      <xdr:row>33</xdr:row>
      <xdr:rowOff>20781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BD04ED0-8B28-4165-AE99-E9FCCF0F14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41</xdr:col>
      <xdr:colOff>58189</xdr:colOff>
      <xdr:row>14</xdr:row>
      <xdr:rowOff>173182</xdr:rowOff>
    </xdr:from>
    <xdr:to>
      <xdr:col>51</xdr:col>
      <xdr:colOff>580046</xdr:colOff>
      <xdr:row>33</xdr:row>
      <xdr:rowOff>8197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BF7168E0-CA66-4A73-91FA-DF1BAA9D50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52</xdr:col>
      <xdr:colOff>64654</xdr:colOff>
      <xdr:row>14</xdr:row>
      <xdr:rowOff>170296</xdr:rowOff>
    </xdr:from>
    <xdr:to>
      <xdr:col>63</xdr:col>
      <xdr:colOff>34636</xdr:colOff>
      <xdr:row>33</xdr:row>
      <xdr:rowOff>27709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19959662-1236-4453-9627-BE800192A4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Fatigue\IT\SP2_50\SP2_50_Annex_F_fatigue_tests..xlsx" TargetMode="External"/><Relationship Id="rId1" Type="http://schemas.openxmlformats.org/officeDocument/2006/relationships/externalLinkPath" Target="IT/SP2_50/SP2_50_Annex_F_fatigue_tests.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Fatigue\IT\SP2_50\SP2_50_Annex_E_fatigue_tests.xlsx" TargetMode="External"/><Relationship Id="rId1" Type="http://schemas.openxmlformats.org/officeDocument/2006/relationships/externalLinkPath" Target="IT/SP2_50/SP2_50_Annex_E_fatigue_tests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Fatigue\IT\PMB_50\PMB_50_Annex_E_fatigue_tests.xlsx" TargetMode="External"/><Relationship Id="rId1" Type="http://schemas.openxmlformats.org/officeDocument/2006/relationships/externalLinkPath" Target="IT/PMB_50/PMB_50_Annex_E_fatigue_tests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Fatigue\4PB\SP2_20\SP2_20_Annex_D_Strain.xlsx" TargetMode="External"/><Relationship Id="rId1" Type="http://schemas.openxmlformats.org/officeDocument/2006/relationships/externalLinkPath" Target="4PB/SP2_20/SP2_20_Annex_D_Strain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Fatigue\4PB\PMB_20\PMB_20_Annex_D_Strain.xlsx" TargetMode="External"/><Relationship Id="rId1" Type="http://schemas.openxmlformats.org/officeDocument/2006/relationships/externalLinkPath" Target="4PB/PMB_20/PMB_20_Annex_D_Strain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Fatigue\4PB\SP2_50\SP2_50_Annex_D_Strain.xlsx" TargetMode="External"/><Relationship Id="rId1" Type="http://schemas.openxmlformats.org/officeDocument/2006/relationships/externalLinkPath" Target="4PB/SP2_50/SP2_50_Annex_D_Strain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Fatigue\4PB\PMB_50\PMB_50_Annex_D_Strain_control.xlsx" TargetMode="External"/><Relationship Id="rId1" Type="http://schemas.openxmlformats.org/officeDocument/2006/relationships/externalLinkPath" Target="4PB/PMB_50/PMB_50_Annex_D_Strain_contr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iffness Moduli"/>
      <sheetName val="Target Stress Identification"/>
      <sheetName val="C3_SP2_50_F"/>
      <sheetName val="C4_SP2_50_F"/>
      <sheetName val="C5_SP2_50_F"/>
      <sheetName val="C6_SP2_50_F"/>
      <sheetName val="C7_SP2_50_F"/>
      <sheetName val="C8_SP2_50_F"/>
      <sheetName val="C9_SP2_50_F"/>
      <sheetName val="C10_SP2_50_F"/>
      <sheetName val="C11_SP2_50_F"/>
      <sheetName val="C12_SP2_50_F"/>
      <sheetName val="C13_SP2_50_F"/>
      <sheetName val="C14_SP2_50_F"/>
      <sheetName val="C15_SP2_50_F"/>
      <sheetName val="C24_SP2_50_F"/>
      <sheetName val="C25_SP2_50_F"/>
      <sheetName val="C26_SP2_50_F"/>
      <sheetName val="C27_SP2_50_F"/>
      <sheetName val="Fatigue Lines"/>
    </sheetNames>
    <sheetDataSet>
      <sheetData sheetId="0"/>
      <sheetData sheetId="1"/>
      <sheetData sheetId="2"/>
      <sheetData sheetId="3">
        <row r="4">
          <cell r="G4">
            <v>47.61258847168228</v>
          </cell>
        </row>
        <row r="5">
          <cell r="G5">
            <v>95.225176943364559</v>
          </cell>
        </row>
        <row r="6">
          <cell r="B6">
            <v>320</v>
          </cell>
          <cell r="G6">
            <v>17470</v>
          </cell>
        </row>
        <row r="7">
          <cell r="G7">
            <v>15190</v>
          </cell>
        </row>
        <row r="8">
          <cell r="G8">
            <v>19800</v>
          </cell>
        </row>
        <row r="93">
          <cell r="M93">
            <v>13790.027123140899</v>
          </cell>
        </row>
      </sheetData>
      <sheetData sheetId="4">
        <row r="4">
          <cell r="G4">
            <v>64.055673661299949</v>
          </cell>
        </row>
        <row r="5">
          <cell r="G5">
            <v>128.1113473225999</v>
          </cell>
        </row>
        <row r="6">
          <cell r="B6">
            <v>510</v>
          </cell>
          <cell r="G6">
            <v>3030</v>
          </cell>
        </row>
        <row r="7">
          <cell r="G7">
            <v>2820</v>
          </cell>
        </row>
        <row r="8">
          <cell r="G8">
            <v>3480</v>
          </cell>
        </row>
        <row r="93">
          <cell r="M93">
            <v>16316.469662072708</v>
          </cell>
        </row>
      </sheetData>
      <sheetData sheetId="5">
        <row r="4">
          <cell r="G4">
            <v>50.328079427163559</v>
          </cell>
        </row>
        <row r="5">
          <cell r="G5">
            <v>100.65615885432712</v>
          </cell>
        </row>
        <row r="6">
          <cell r="B6">
            <v>340</v>
          </cell>
          <cell r="G6">
            <v>15910</v>
          </cell>
        </row>
        <row r="7">
          <cell r="G7">
            <v>13210</v>
          </cell>
        </row>
        <row r="8">
          <cell r="G8">
            <v>18440</v>
          </cell>
        </row>
        <row r="93">
          <cell r="M93">
            <v>13843.63030092687</v>
          </cell>
        </row>
      </sheetData>
      <sheetData sheetId="6">
        <row r="4">
          <cell r="G4">
            <v>70.074083225058146</v>
          </cell>
        </row>
        <row r="5">
          <cell r="G5">
            <v>140.14816645011629</v>
          </cell>
        </row>
        <row r="6">
          <cell r="B6">
            <v>520</v>
          </cell>
          <cell r="G6">
            <v>2320</v>
          </cell>
        </row>
        <row r="7">
          <cell r="G7">
            <v>1940</v>
          </cell>
        </row>
        <row r="8">
          <cell r="G8">
            <v>2860</v>
          </cell>
        </row>
        <row r="93">
          <cell r="M93">
            <v>15211.939974278108</v>
          </cell>
        </row>
      </sheetData>
      <sheetData sheetId="7">
        <row r="4">
          <cell r="G4">
            <v>36.384212624069342</v>
          </cell>
        </row>
        <row r="5">
          <cell r="G5">
            <v>72.768425248138684</v>
          </cell>
        </row>
        <row r="6">
          <cell r="B6">
            <v>300</v>
          </cell>
          <cell r="G6">
            <v>27980</v>
          </cell>
        </row>
        <row r="7">
          <cell r="G7">
            <v>22890</v>
          </cell>
        </row>
        <row r="8">
          <cell r="G8">
            <v>35290</v>
          </cell>
        </row>
        <row r="93">
          <cell r="M93">
            <v>16903.556782039264</v>
          </cell>
        </row>
      </sheetData>
      <sheetData sheetId="8">
        <row r="4">
          <cell r="G4">
            <v>48.167071501606749</v>
          </cell>
        </row>
        <row r="5">
          <cell r="G5">
            <v>96.334143003213498</v>
          </cell>
        </row>
        <row r="6">
          <cell r="B6">
            <v>350</v>
          </cell>
          <cell r="G6">
            <v>13210</v>
          </cell>
        </row>
        <row r="7">
          <cell r="G7">
            <v>12200</v>
          </cell>
        </row>
        <row r="8">
          <cell r="G8">
            <v>15590</v>
          </cell>
        </row>
        <row r="93">
          <cell r="M93">
            <v>14890.080403300111</v>
          </cell>
        </row>
      </sheetData>
      <sheetData sheetId="9">
        <row r="4">
          <cell r="G4">
            <v>91.04352785795345</v>
          </cell>
        </row>
        <row r="5">
          <cell r="G5">
            <v>182.0870557159069</v>
          </cell>
        </row>
        <row r="6">
          <cell r="B6">
            <v>530</v>
          </cell>
          <cell r="G6">
            <v>2480</v>
          </cell>
        </row>
        <row r="7">
          <cell r="G7">
            <v>2050</v>
          </cell>
        </row>
        <row r="8">
          <cell r="G8">
            <v>3100</v>
          </cell>
        </row>
        <row r="93">
          <cell r="M93">
            <v>11924.799269080273</v>
          </cell>
        </row>
      </sheetData>
      <sheetData sheetId="10">
        <row r="4">
          <cell r="G4">
            <v>41.560019161452971</v>
          </cell>
        </row>
        <row r="5">
          <cell r="G5">
            <v>83.120038322905941</v>
          </cell>
        </row>
        <row r="6">
          <cell r="B6">
            <v>330</v>
          </cell>
          <cell r="G6">
            <v>13030</v>
          </cell>
        </row>
        <row r="7">
          <cell r="G7">
            <v>10210</v>
          </cell>
        </row>
        <row r="8">
          <cell r="G8">
            <v>16190</v>
          </cell>
        </row>
        <row r="93">
          <cell r="M93">
            <v>16277.773357838492</v>
          </cell>
        </row>
      </sheetData>
      <sheetData sheetId="11"/>
      <sheetData sheetId="12"/>
      <sheetData sheetId="13">
        <row r="4">
          <cell r="G4">
            <v>67.607874623157457</v>
          </cell>
        </row>
        <row r="5">
          <cell r="G5">
            <v>135.21574924631491</v>
          </cell>
        </row>
        <row r="6">
          <cell r="B6">
            <v>520</v>
          </cell>
          <cell r="G6">
            <v>2400</v>
          </cell>
        </row>
        <row r="7">
          <cell r="G7">
            <v>2060</v>
          </cell>
        </row>
        <row r="8">
          <cell r="G8">
            <v>3120</v>
          </cell>
        </row>
        <row r="93">
          <cell r="M93">
            <v>15778.190570436547</v>
          </cell>
        </row>
      </sheetData>
      <sheetData sheetId="14">
        <row r="4">
          <cell r="G4">
            <v>29.334075055109462</v>
          </cell>
        </row>
        <row r="5">
          <cell r="G5">
            <v>58.668150110218924</v>
          </cell>
        </row>
        <row r="6">
          <cell r="B6">
            <v>240</v>
          </cell>
          <cell r="G6">
            <v>55270</v>
          </cell>
        </row>
        <row r="7">
          <cell r="G7">
            <v>48970</v>
          </cell>
        </row>
        <row r="8">
          <cell r="G8">
            <v>70640</v>
          </cell>
        </row>
        <row r="93">
          <cell r="M93">
            <v>16775.653032052014</v>
          </cell>
        </row>
      </sheetData>
      <sheetData sheetId="15"/>
      <sheetData sheetId="16">
        <row r="4">
          <cell r="G4">
            <v>26.920152570443477</v>
          </cell>
        </row>
        <row r="5">
          <cell r="G5">
            <v>53.840305140886954</v>
          </cell>
        </row>
        <row r="6">
          <cell r="B6">
            <v>270</v>
          </cell>
          <cell r="G6">
            <v>86070</v>
          </cell>
        </row>
        <row r="7">
          <cell r="G7">
            <v>79600</v>
          </cell>
        </row>
        <row r="8">
          <cell r="G8">
            <v>118340</v>
          </cell>
        </row>
        <row r="93">
          <cell r="M93">
            <v>20561.601563955282</v>
          </cell>
        </row>
      </sheetData>
      <sheetData sheetId="17"/>
      <sheetData sheetId="18">
        <row r="4">
          <cell r="G4">
            <v>25.098989997155027</v>
          </cell>
        </row>
        <row r="5">
          <cell r="G5">
            <v>50.197979994310053</v>
          </cell>
        </row>
        <row r="6">
          <cell r="B6">
            <v>270</v>
          </cell>
          <cell r="G6">
            <v>100990</v>
          </cell>
        </row>
        <row r="7">
          <cell r="G7">
            <v>112110</v>
          </cell>
        </row>
        <row r="8">
          <cell r="G8">
            <v>160130</v>
          </cell>
        </row>
        <row r="93">
          <cell r="M93">
            <v>22050.88293244013</v>
          </cell>
        </row>
      </sheetData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iffness Moduli"/>
      <sheetName val="Target Stress Identification"/>
      <sheetName val="C18_SP2_50_E"/>
      <sheetName val="C19_SP2_50_E"/>
      <sheetName val="C20_SP2_50_E"/>
      <sheetName val="C21_SP2_50_E"/>
      <sheetName val="C22_SP2_50_E"/>
      <sheetName val="C23_SP2_50_E"/>
      <sheetName val="Fatigue Lines"/>
    </sheetNames>
    <sheetDataSet>
      <sheetData sheetId="0"/>
      <sheetData sheetId="1"/>
      <sheetData sheetId="2">
        <row r="5">
          <cell r="G5">
            <v>127.23317695944992</v>
          </cell>
        </row>
        <row r="6">
          <cell r="B6">
            <v>800</v>
          </cell>
          <cell r="G6">
            <v>14070</v>
          </cell>
        </row>
        <row r="7">
          <cell r="G7">
            <v>13909</v>
          </cell>
        </row>
        <row r="8">
          <cell r="G8">
            <v>18548</v>
          </cell>
        </row>
        <row r="82">
          <cell r="K82">
            <v>15446.072</v>
          </cell>
        </row>
      </sheetData>
      <sheetData sheetId="3">
        <row r="5">
          <cell r="G5">
            <v>356.48445204566923</v>
          </cell>
        </row>
        <row r="6">
          <cell r="B6">
            <v>1100</v>
          </cell>
          <cell r="G6">
            <v>1451</v>
          </cell>
        </row>
        <row r="7">
          <cell r="G7">
            <v>1277</v>
          </cell>
        </row>
        <row r="8">
          <cell r="G8">
            <v>1701</v>
          </cell>
        </row>
        <row r="82">
          <cell r="K82">
            <v>10108.638000000001</v>
          </cell>
        </row>
      </sheetData>
      <sheetData sheetId="4">
        <row r="5">
          <cell r="G5">
            <v>243.95159537733326</v>
          </cell>
        </row>
        <row r="6">
          <cell r="B6">
            <v>1000</v>
          </cell>
          <cell r="G6">
            <v>3226</v>
          </cell>
        </row>
        <row r="7">
          <cell r="G7">
            <v>3121</v>
          </cell>
        </row>
        <row r="8">
          <cell r="G8">
            <v>4409</v>
          </cell>
        </row>
        <row r="82">
          <cell r="K82">
            <v>12174.124</v>
          </cell>
        </row>
      </sheetData>
      <sheetData sheetId="5">
        <row r="5">
          <cell r="G5">
            <v>149.6560947021207</v>
          </cell>
        </row>
        <row r="6">
          <cell r="B6">
            <v>870</v>
          </cell>
          <cell r="G6">
            <v>7060</v>
          </cell>
        </row>
        <row r="7">
          <cell r="G7">
            <v>6742</v>
          </cell>
        </row>
        <row r="8">
          <cell r="G8">
            <v>9475</v>
          </cell>
        </row>
        <row r="82">
          <cell r="K82">
            <v>14530.005999999999</v>
          </cell>
        </row>
      </sheetData>
      <sheetData sheetId="6"/>
      <sheetData sheetId="7">
        <row r="5">
          <cell r="G5">
            <v>83.956277262313918</v>
          </cell>
        </row>
        <row r="6">
          <cell r="B6">
            <v>620</v>
          </cell>
          <cell r="G6">
            <v>58209</v>
          </cell>
        </row>
        <row r="7">
          <cell r="G7">
            <v>56017</v>
          </cell>
        </row>
        <row r="8">
          <cell r="G8">
            <v>77922</v>
          </cell>
        </row>
        <row r="82">
          <cell r="K82">
            <v>16535.515999999996</v>
          </cell>
        </row>
      </sheetData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iffness Moduli"/>
      <sheetName val="Target Stress Identification"/>
      <sheetName val="D1_PMB_50_E"/>
      <sheetName val="D8_PMB_50_E"/>
      <sheetName val="D11_PMB_50_E"/>
      <sheetName val="D13_PMB_50_E"/>
      <sheetName val="D18_PMB_50_E"/>
      <sheetName val="D19_PMB_50_E"/>
      <sheetName val="Fatigue Lines"/>
    </sheetNames>
    <sheetDataSet>
      <sheetData sheetId="0"/>
      <sheetData sheetId="1"/>
      <sheetData sheetId="2">
        <row r="5">
          <cell r="G5">
            <v>301.29716656169524</v>
          </cell>
        </row>
        <row r="6">
          <cell r="B6">
            <v>1200</v>
          </cell>
          <cell r="G6">
            <v>1307</v>
          </cell>
        </row>
        <row r="7">
          <cell r="G7">
            <v>1185</v>
          </cell>
        </row>
        <row r="8">
          <cell r="G8">
            <v>1645</v>
          </cell>
        </row>
        <row r="82">
          <cell r="K82">
            <v>11218.118</v>
          </cell>
        </row>
      </sheetData>
      <sheetData sheetId="3">
        <row r="5">
          <cell r="G5">
            <v>120.24127946465353</v>
          </cell>
        </row>
        <row r="6">
          <cell r="B6">
            <v>900</v>
          </cell>
          <cell r="G6">
            <v>11929</v>
          </cell>
        </row>
        <row r="7">
          <cell r="G7">
            <v>11305</v>
          </cell>
        </row>
        <row r="8">
          <cell r="G8">
            <v>15134</v>
          </cell>
        </row>
        <row r="82">
          <cell r="K82">
            <v>17002.836000000003</v>
          </cell>
        </row>
      </sheetData>
      <sheetData sheetId="4"/>
      <sheetData sheetId="5">
        <row r="5">
          <cell r="G5">
            <v>98.727658266813009</v>
          </cell>
        </row>
        <row r="6">
          <cell r="B6">
            <v>700</v>
          </cell>
          <cell r="G6">
            <v>33112</v>
          </cell>
        </row>
        <row r="7">
          <cell r="G7">
            <v>32358</v>
          </cell>
        </row>
        <row r="8">
          <cell r="G8">
            <v>41685</v>
          </cell>
        </row>
        <row r="82">
          <cell r="K82">
            <v>17849.649999999998</v>
          </cell>
        </row>
      </sheetData>
      <sheetData sheetId="6">
        <row r="5">
          <cell r="G5">
            <v>191.08899818587605</v>
          </cell>
        </row>
        <row r="6">
          <cell r="B6">
            <v>1000</v>
          </cell>
          <cell r="G6">
            <v>5452</v>
          </cell>
        </row>
        <row r="7">
          <cell r="G7">
            <v>4947</v>
          </cell>
        </row>
        <row r="8">
          <cell r="G8">
            <v>6917</v>
          </cell>
        </row>
        <row r="82">
          <cell r="K82">
            <v>12641.273999999999</v>
          </cell>
        </row>
      </sheetData>
      <sheetData sheetId="7">
        <row r="5">
          <cell r="G5">
            <v>102.01664292322781</v>
          </cell>
        </row>
        <row r="6">
          <cell r="B6">
            <v>850</v>
          </cell>
          <cell r="G6">
            <v>28509</v>
          </cell>
        </row>
        <row r="7">
          <cell r="G7">
            <v>25901</v>
          </cell>
        </row>
        <row r="8">
          <cell r="G8">
            <v>33239</v>
          </cell>
        </row>
        <row r="82">
          <cell r="K82">
            <v>19068.065999999999</v>
          </cell>
        </row>
      </sheetData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1_PR_SP2_20_D"/>
      <sheetName val="A3_PR_SP2_20_D"/>
      <sheetName val="A4_PR_SP2_20_D"/>
      <sheetName val="A5_PR_SP2_20_D"/>
      <sheetName val="A7_PR_SP2_20_D"/>
      <sheetName val="A8_PR_SP2_20_D"/>
      <sheetName val="Fatigue Lines"/>
    </sheetNames>
    <sheetDataSet>
      <sheetData sheetId="0">
        <row r="4">
          <cell r="E4">
            <v>180.22800000000001</v>
          </cell>
        </row>
        <row r="5">
          <cell r="E5">
            <v>1586</v>
          </cell>
        </row>
        <row r="6">
          <cell r="E6">
            <v>92612</v>
          </cell>
        </row>
        <row r="7">
          <cell r="E7">
            <v>90504</v>
          </cell>
        </row>
        <row r="66">
          <cell r="J66">
            <v>8799.7739999999994</v>
          </cell>
        </row>
      </sheetData>
      <sheetData sheetId="1">
        <row r="4">
          <cell r="E4">
            <v>180.49100000000001</v>
          </cell>
        </row>
        <row r="5">
          <cell r="E5">
            <v>1754</v>
          </cell>
        </row>
        <row r="6">
          <cell r="E6">
            <v>239884</v>
          </cell>
        </row>
        <row r="7">
          <cell r="E7">
            <v>206803</v>
          </cell>
        </row>
        <row r="66">
          <cell r="J66">
            <v>9720.2389999999996</v>
          </cell>
        </row>
      </sheetData>
      <sheetData sheetId="2">
        <row r="4">
          <cell r="E4">
            <v>160.18100000000001</v>
          </cell>
        </row>
        <row r="5">
          <cell r="E5">
            <v>1566</v>
          </cell>
        </row>
        <row r="6">
          <cell r="E6">
            <v>774264</v>
          </cell>
        </row>
        <row r="7">
          <cell r="E7">
            <v>866519</v>
          </cell>
        </row>
        <row r="66">
          <cell r="J66">
            <v>9777.8019999999997</v>
          </cell>
        </row>
      </sheetData>
      <sheetData sheetId="3">
        <row r="4">
          <cell r="E4">
            <v>159.82900000000001</v>
          </cell>
        </row>
        <row r="5">
          <cell r="E5">
            <v>1703</v>
          </cell>
        </row>
        <row r="6">
          <cell r="E6">
            <v>624534</v>
          </cell>
        </row>
        <row r="7">
          <cell r="E7">
            <v>596425</v>
          </cell>
        </row>
        <row r="66">
          <cell r="J66">
            <v>10653.33</v>
          </cell>
        </row>
      </sheetData>
      <sheetData sheetId="4">
        <row r="4">
          <cell r="E4">
            <v>248.51599999999999</v>
          </cell>
        </row>
        <row r="5">
          <cell r="E5">
            <v>2266</v>
          </cell>
        </row>
        <row r="6">
          <cell r="E6">
            <v>25216</v>
          </cell>
        </row>
        <row r="7">
          <cell r="E7">
            <v>25216</v>
          </cell>
        </row>
        <row r="66">
          <cell r="J66">
            <v>9117.8629999999994</v>
          </cell>
        </row>
      </sheetData>
      <sheetData sheetId="5">
        <row r="4">
          <cell r="E4">
            <v>159.93100000000001</v>
          </cell>
        </row>
        <row r="5">
          <cell r="E5">
            <v>1536</v>
          </cell>
        </row>
        <row r="6">
          <cell r="E6">
            <v>249907</v>
          </cell>
        </row>
        <row r="7">
          <cell r="E7">
            <v>213250</v>
          </cell>
        </row>
        <row r="66">
          <cell r="J66">
            <v>9604.3430000000008</v>
          </cell>
        </row>
      </sheetData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1_PR_PMB_20_D"/>
      <sheetName val="B2_PR_PMB_20_D"/>
      <sheetName val="B4_PR_PMB_20_D"/>
      <sheetName val="B5_PR_PMB_20_D"/>
      <sheetName val="B6_PR_PMB_20_D"/>
      <sheetName val="B7_PR_PMB_20_D"/>
      <sheetName val="B8_PR_PMB_20_D"/>
      <sheetName val="Fatigue Lines"/>
    </sheetNames>
    <sheetDataSet>
      <sheetData sheetId="0">
        <row r="4">
          <cell r="E4">
            <v>178.98</v>
          </cell>
        </row>
        <row r="5">
          <cell r="E5">
            <v>1674</v>
          </cell>
        </row>
        <row r="6">
          <cell r="E6">
            <v>1196129</v>
          </cell>
        </row>
        <row r="7">
          <cell r="E7">
            <v>1430723</v>
          </cell>
        </row>
        <row r="66">
          <cell r="J66">
            <v>9353.0210000000006</v>
          </cell>
        </row>
      </sheetData>
      <sheetData sheetId="1">
        <row r="4">
          <cell r="E4">
            <v>179.983</v>
          </cell>
        </row>
        <row r="5">
          <cell r="E5">
            <v>1442</v>
          </cell>
        </row>
        <row r="6">
          <cell r="E6">
            <v>1196129</v>
          </cell>
        </row>
        <row r="7">
          <cell r="E7">
            <v>1165915</v>
          </cell>
        </row>
        <row r="66">
          <cell r="J66">
            <v>8010.7669999999998</v>
          </cell>
        </row>
      </sheetData>
      <sheetData sheetId="2">
        <row r="4">
          <cell r="E4">
            <v>197.93799999999999</v>
          </cell>
        </row>
        <row r="5">
          <cell r="E5">
            <v>1184</v>
          </cell>
        </row>
        <row r="6">
          <cell r="E6">
            <v>2282093</v>
          </cell>
        </row>
        <row r="7">
          <cell r="E7">
            <v>2356255</v>
          </cell>
        </row>
        <row r="66">
          <cell r="J66">
            <v>5982.6909999999998</v>
          </cell>
        </row>
      </sheetData>
      <sheetData sheetId="3">
        <row r="4">
          <cell r="E4">
            <v>260.56</v>
          </cell>
        </row>
        <row r="5">
          <cell r="E5">
            <v>1831</v>
          </cell>
        </row>
        <row r="6">
          <cell r="E6">
            <v>400150</v>
          </cell>
        </row>
        <row r="7">
          <cell r="E7">
            <v>806616</v>
          </cell>
        </row>
        <row r="66">
          <cell r="J66">
            <v>7027.848</v>
          </cell>
        </row>
      </sheetData>
      <sheetData sheetId="4">
        <row r="4">
          <cell r="E4">
            <v>279.63200000000001</v>
          </cell>
        </row>
        <row r="5">
          <cell r="E5">
            <v>2526</v>
          </cell>
        </row>
        <row r="6">
          <cell r="E6">
            <v>78223</v>
          </cell>
        </row>
        <row r="7">
          <cell r="E7">
            <v>97724</v>
          </cell>
        </row>
        <row r="66">
          <cell r="J66">
            <v>9032.9850000000006</v>
          </cell>
        </row>
      </sheetData>
      <sheetData sheetId="5">
        <row r="4">
          <cell r="E4">
            <v>340.91300000000001</v>
          </cell>
        </row>
        <row r="5">
          <cell r="E5">
            <v>2694</v>
          </cell>
        </row>
        <row r="6">
          <cell r="E6">
            <v>18198</v>
          </cell>
        </row>
        <row r="7">
          <cell r="E7">
            <v>17114</v>
          </cell>
        </row>
        <row r="66">
          <cell r="J66">
            <v>7903.6790000000001</v>
          </cell>
        </row>
      </sheetData>
      <sheetData sheetId="6">
        <row r="4">
          <cell r="E4">
            <v>320.86799999999999</v>
          </cell>
        </row>
        <row r="5">
          <cell r="E5">
            <v>2136</v>
          </cell>
        </row>
        <row r="6">
          <cell r="E6">
            <v>230262</v>
          </cell>
        </row>
        <row r="7">
          <cell r="E7">
            <v>670914</v>
          </cell>
        </row>
        <row r="66">
          <cell r="J66">
            <v>6656.9949999999999</v>
          </cell>
        </row>
      </sheetData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1_PR_SP2_50_D"/>
      <sheetName val="C2_PR_SP2_50_D"/>
      <sheetName val="C3_PR_SP2_50_D"/>
      <sheetName val="C4_PR_SP2_50_D"/>
      <sheetName val="C6_PR_SP2_50_D"/>
      <sheetName val="C7_PR_SP2_50_D"/>
      <sheetName val="C8_PR_SP2_50_D"/>
      <sheetName val="Fatigue Lines"/>
    </sheetNames>
    <sheetDataSet>
      <sheetData sheetId="0">
        <row r="4">
          <cell r="E4">
            <v>179.72900000000001</v>
          </cell>
        </row>
        <row r="5">
          <cell r="E5">
            <v>1735</v>
          </cell>
        </row>
        <row r="6">
          <cell r="E6">
            <v>1250899</v>
          </cell>
        </row>
        <row r="7">
          <cell r="E7">
            <v>1350690</v>
          </cell>
        </row>
        <row r="66">
          <cell r="J66">
            <v>9654.3169999999991</v>
          </cell>
        </row>
      </sheetData>
      <sheetData sheetId="1">
        <row r="4">
          <cell r="E4">
            <v>179.09399999999999</v>
          </cell>
        </row>
        <row r="5">
          <cell r="E5">
            <v>1474</v>
          </cell>
        </row>
        <row r="6">
          <cell r="E6">
            <v>81910</v>
          </cell>
        </row>
        <row r="7">
          <cell r="E7">
            <v>62614</v>
          </cell>
        </row>
        <row r="66">
          <cell r="J66">
            <v>8230.4840000000004</v>
          </cell>
        </row>
      </sheetData>
      <sheetData sheetId="2">
        <row r="4">
          <cell r="E4">
            <v>200.19399999999999</v>
          </cell>
        </row>
        <row r="5">
          <cell r="E5">
            <v>2142</v>
          </cell>
        </row>
        <row r="6">
          <cell r="E6">
            <v>189574</v>
          </cell>
        </row>
        <row r="7">
          <cell r="E7">
            <v>181971</v>
          </cell>
        </row>
        <row r="66">
          <cell r="J66">
            <v>10699.788</v>
          </cell>
        </row>
      </sheetData>
      <sheetData sheetId="3">
        <row r="4">
          <cell r="E4">
            <v>160.18</v>
          </cell>
        </row>
        <row r="5">
          <cell r="E5">
            <v>2123</v>
          </cell>
        </row>
        <row r="6">
          <cell r="E6">
            <v>1072891</v>
          </cell>
        </row>
        <row r="7">
          <cell r="E7">
            <v>1165915</v>
          </cell>
        </row>
        <row r="66">
          <cell r="J66">
            <v>13253.081</v>
          </cell>
        </row>
      </sheetData>
      <sheetData sheetId="4">
        <row r="4">
          <cell r="E4">
            <v>209.398</v>
          </cell>
        </row>
        <row r="5">
          <cell r="E5">
            <v>1924</v>
          </cell>
        </row>
        <row r="6">
          <cell r="E6">
            <v>96977</v>
          </cell>
        </row>
        <row r="7">
          <cell r="E7">
            <v>91202</v>
          </cell>
        </row>
        <row r="66">
          <cell r="J66">
            <v>9187.2060000000001</v>
          </cell>
        </row>
      </sheetData>
      <sheetData sheetId="5">
        <row r="4">
          <cell r="E4">
            <v>225.18700000000001</v>
          </cell>
        </row>
        <row r="5">
          <cell r="E5">
            <v>2556</v>
          </cell>
        </row>
        <row r="6">
          <cell r="E6">
            <v>99236</v>
          </cell>
        </row>
        <row r="7">
          <cell r="E7">
            <v>85442</v>
          </cell>
        </row>
        <row r="66">
          <cell r="J66">
            <v>11348.945</v>
          </cell>
        </row>
      </sheetData>
      <sheetData sheetId="6">
        <row r="4">
          <cell r="E4">
            <v>199.089</v>
          </cell>
        </row>
        <row r="5">
          <cell r="E5">
            <v>1975</v>
          </cell>
        </row>
        <row r="6">
          <cell r="E6">
            <v>154486</v>
          </cell>
        </row>
        <row r="7">
          <cell r="E7">
            <v>152133</v>
          </cell>
        </row>
        <row r="66">
          <cell r="J66">
            <v>9919.4740000000002</v>
          </cell>
        </row>
      </sheetData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1_PR_PMB_50_D"/>
      <sheetName val="D2_PR_PMB_50_D"/>
      <sheetName val="D3_PR_PMB_50_D"/>
      <sheetName val="D4_PR_PMB_50_D"/>
      <sheetName val="D5_PR_PMB_50_D"/>
      <sheetName val="D6_PR_PMB_50_D"/>
      <sheetName val="D7_PR_PMB_50_D"/>
      <sheetName val="Fatigue Lines"/>
    </sheetNames>
    <sheetDataSet>
      <sheetData sheetId="0">
        <row r="4">
          <cell r="E4">
            <v>179.68</v>
          </cell>
        </row>
        <row r="5">
          <cell r="E5">
            <v>2287</v>
          </cell>
        </row>
        <row r="6">
          <cell r="E6">
            <v>32994</v>
          </cell>
        </row>
        <row r="7">
          <cell r="E7">
            <v>27505</v>
          </cell>
        </row>
        <row r="66">
          <cell r="J66">
            <v>12727.454</v>
          </cell>
        </row>
      </sheetData>
      <sheetData sheetId="1">
        <row r="4">
          <cell r="E4">
            <v>181.63</v>
          </cell>
        </row>
        <row r="5">
          <cell r="E5">
            <v>2582</v>
          </cell>
        </row>
        <row r="6">
          <cell r="E6">
            <v>119613</v>
          </cell>
        </row>
        <row r="7">
          <cell r="E7">
            <v>139459</v>
          </cell>
        </row>
        <row r="66">
          <cell r="J66">
            <v>14216.197</v>
          </cell>
        </row>
      </sheetData>
      <sheetData sheetId="2">
        <row r="4">
          <cell r="E4">
            <v>234.387</v>
          </cell>
        </row>
        <row r="5">
          <cell r="E5">
            <v>2662</v>
          </cell>
        </row>
        <row r="6">
          <cell r="E6">
            <v>18550</v>
          </cell>
        </row>
        <row r="7">
          <cell r="E7">
            <v>20496</v>
          </cell>
        </row>
        <row r="66">
          <cell r="J66">
            <v>11355.434999999999</v>
          </cell>
        </row>
      </sheetData>
      <sheetData sheetId="3">
        <row r="4">
          <cell r="E4">
            <v>201.11699999999999</v>
          </cell>
        </row>
        <row r="5">
          <cell r="E5">
            <v>2227</v>
          </cell>
        </row>
        <row r="6">
          <cell r="E6">
            <v>84140</v>
          </cell>
        </row>
        <row r="7">
          <cell r="E7">
            <v>91202</v>
          </cell>
        </row>
        <row r="66">
          <cell r="J66">
            <v>11071.071</v>
          </cell>
        </row>
      </sheetData>
      <sheetData sheetId="4">
        <row r="4">
          <cell r="E4">
            <v>200.65899999999999</v>
          </cell>
        </row>
        <row r="5">
          <cell r="E5">
            <v>2651</v>
          </cell>
        </row>
        <row r="6">
          <cell r="E6">
            <v>44669</v>
          </cell>
        </row>
        <row r="7">
          <cell r="E7">
            <v>45534</v>
          </cell>
        </row>
        <row r="66">
          <cell r="J66">
            <v>13211.598</v>
          </cell>
        </row>
      </sheetData>
      <sheetData sheetId="5">
        <row r="4">
          <cell r="E4">
            <v>161.02600000000001</v>
          </cell>
        </row>
        <row r="5">
          <cell r="E5">
            <v>2140</v>
          </cell>
        </row>
        <row r="6">
          <cell r="E6">
            <v>222161</v>
          </cell>
        </row>
        <row r="7">
          <cell r="E7">
            <v>197495</v>
          </cell>
        </row>
        <row r="66">
          <cell r="J66">
            <v>13290.245999999999</v>
          </cell>
        </row>
      </sheetData>
      <sheetData sheetId="6">
        <row r="4">
          <cell r="E4">
            <v>150.221</v>
          </cell>
        </row>
        <row r="5">
          <cell r="E5">
            <v>2190</v>
          </cell>
        </row>
        <row r="6">
          <cell r="E6">
            <v>1291550</v>
          </cell>
        </row>
        <row r="7">
          <cell r="E7">
            <v>1275134</v>
          </cell>
        </row>
        <row r="66">
          <cell r="J66">
            <v>14579.251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B92"/>
  <sheetViews>
    <sheetView showGridLines="0" tabSelected="1" zoomScale="90" zoomScaleNormal="90" zoomScaleSheetLayoutView="91" workbookViewId="0">
      <selection activeCell="AX28" sqref="AX28"/>
    </sheetView>
  </sheetViews>
  <sheetFormatPr defaultRowHeight="14.4" x14ac:dyDescent="0.3"/>
  <cols>
    <col min="4" max="4" width="11.44140625" customWidth="1"/>
    <col min="6" max="7" width="9.109375" bestFit="1" customWidth="1"/>
    <col min="8" max="10" width="12.5546875" bestFit="1" customWidth="1"/>
    <col min="11" max="11" width="9.109375" bestFit="1" customWidth="1"/>
    <col min="13" max="13" width="11.33203125" bestFit="1" customWidth="1"/>
    <col min="14" max="14" width="9.33203125" bestFit="1" customWidth="1"/>
    <col min="15" max="15" width="13.88671875" bestFit="1" customWidth="1"/>
    <col min="16" max="16" width="11.77734375" bestFit="1" customWidth="1"/>
    <col min="17" max="17" width="12.44140625" bestFit="1" customWidth="1"/>
    <col min="18" max="18" width="9.109375" bestFit="1" customWidth="1"/>
    <col min="19" max="19" width="9.5546875" bestFit="1" customWidth="1"/>
    <col min="24" max="27" width="10.77734375" customWidth="1"/>
  </cols>
  <sheetData>
    <row r="1" spans="2:20" ht="15" thickBot="1" x14ac:dyDescent="0.35"/>
    <row r="2" spans="2:20" ht="16.2" x14ac:dyDescent="0.3">
      <c r="B2" s="312" t="s">
        <v>0</v>
      </c>
      <c r="C2" s="314" t="s">
        <v>16</v>
      </c>
      <c r="D2" s="219" t="s">
        <v>286</v>
      </c>
      <c r="E2" s="219" t="s">
        <v>287</v>
      </c>
      <c r="F2" s="220" t="s">
        <v>288</v>
      </c>
      <c r="G2" s="219" t="s">
        <v>2</v>
      </c>
      <c r="H2" s="219" t="s">
        <v>278</v>
      </c>
      <c r="I2" s="221" t="s">
        <v>279</v>
      </c>
      <c r="J2" s="221" t="s">
        <v>280</v>
      </c>
      <c r="K2" s="222" t="s">
        <v>289</v>
      </c>
      <c r="L2" s="223" t="s">
        <v>290</v>
      </c>
      <c r="M2" s="219" t="s">
        <v>291</v>
      </c>
      <c r="N2" s="221" t="s">
        <v>292</v>
      </c>
      <c r="O2" s="224" t="s">
        <v>293</v>
      </c>
    </row>
    <row r="3" spans="2:20" ht="15" thickBot="1" x14ac:dyDescent="0.35">
      <c r="B3" s="313"/>
      <c r="C3" s="315"/>
      <c r="D3" s="225" t="s">
        <v>8</v>
      </c>
      <c r="E3" s="225" t="s">
        <v>9</v>
      </c>
      <c r="F3" s="225" t="s">
        <v>10</v>
      </c>
      <c r="G3" s="225" t="s">
        <v>10</v>
      </c>
      <c r="H3" s="225" t="s">
        <v>12</v>
      </c>
      <c r="I3" s="225" t="s">
        <v>12</v>
      </c>
      <c r="J3" s="225" t="s">
        <v>12</v>
      </c>
      <c r="K3" s="226" t="s">
        <v>11</v>
      </c>
      <c r="L3" s="227" t="s">
        <v>10</v>
      </c>
      <c r="M3" s="225" t="s">
        <v>12</v>
      </c>
      <c r="N3" s="225" t="s">
        <v>12</v>
      </c>
      <c r="O3" s="226" t="s">
        <v>12</v>
      </c>
    </row>
    <row r="4" spans="2:20" ht="16.2" thickBot="1" x14ac:dyDescent="0.35">
      <c r="B4" s="228" t="s">
        <v>218</v>
      </c>
      <c r="C4" s="229" t="s">
        <v>262</v>
      </c>
      <c r="D4" s="230">
        <v>11709.4319799972</v>
      </c>
      <c r="E4" s="231">
        <v>290</v>
      </c>
      <c r="F4" s="231">
        <v>50.774215580522444</v>
      </c>
      <c r="G4" s="232">
        <v>101.54843116104489</v>
      </c>
      <c r="H4" s="232">
        <v>5010</v>
      </c>
      <c r="I4" s="230">
        <v>4270</v>
      </c>
      <c r="J4" s="230">
        <v>6570</v>
      </c>
      <c r="K4" s="233">
        <v>3.71</v>
      </c>
      <c r="L4" s="234">
        <f>LOG10(G4)</f>
        <v>2.0066732183034626</v>
      </c>
      <c r="M4" s="235">
        <f t="shared" ref="M4:O4" si="0">LOG10(H4)</f>
        <v>3.6998377258672459</v>
      </c>
      <c r="N4" s="235">
        <f t="shared" si="0"/>
        <v>3.6304278750250241</v>
      </c>
      <c r="O4" s="236">
        <f t="shared" si="0"/>
        <v>3.8175653695597807</v>
      </c>
      <c r="Q4" s="40" t="s">
        <v>268</v>
      </c>
      <c r="R4" s="41" t="s">
        <v>3</v>
      </c>
      <c r="S4" s="16" t="s">
        <v>4</v>
      </c>
      <c r="T4" s="17" t="s">
        <v>5</v>
      </c>
    </row>
    <row r="5" spans="2:20" ht="15.6" x14ac:dyDescent="0.3">
      <c r="B5" s="237" t="s">
        <v>219</v>
      </c>
      <c r="C5" s="238" t="s">
        <v>262</v>
      </c>
      <c r="D5" s="239">
        <v>9996.4587671232202</v>
      </c>
      <c r="E5" s="240">
        <v>300</v>
      </c>
      <c r="F5" s="240">
        <v>61.548192625662324</v>
      </c>
      <c r="G5" s="241">
        <v>123.09638525132465</v>
      </c>
      <c r="H5" s="241">
        <v>5290</v>
      </c>
      <c r="I5" s="239">
        <v>4520</v>
      </c>
      <c r="J5" s="239">
        <v>6500</v>
      </c>
      <c r="K5" s="242">
        <v>3.45</v>
      </c>
      <c r="L5" s="243">
        <f t="shared" ref="L5:L12" si="1">LOG10(G5)</f>
        <v>2.0902452999788173</v>
      </c>
      <c r="M5" s="244">
        <f t="shared" ref="M5:M12" si="2">LOG10(H5)</f>
        <v>3.7234556720351857</v>
      </c>
      <c r="N5" s="244">
        <f t="shared" ref="N5:N12" si="3">LOG10(I5)</f>
        <v>3.655138434811382</v>
      </c>
      <c r="O5" s="245">
        <f t="shared" ref="O5:O12" si="4">LOG10(J5)</f>
        <v>3.8129133566428557</v>
      </c>
      <c r="Q5" s="18" t="s">
        <v>13</v>
      </c>
      <c r="R5" s="6">
        <f>INTERCEPT(M4:M12,$L4:$L12)</f>
        <v>11.0956009812927</v>
      </c>
      <c r="S5" s="7">
        <f>INTERCEPT(N4:N12,$L4:$L12)</f>
        <v>11.089069105202023</v>
      </c>
      <c r="T5" s="8">
        <f>INTERCEPT(O4:O12,$L4:$L12)</f>
        <v>11.242107564185085</v>
      </c>
    </row>
    <row r="6" spans="2:20" x14ac:dyDescent="0.3">
      <c r="B6" s="237" t="s">
        <v>220</v>
      </c>
      <c r="C6" s="238" t="s">
        <v>262</v>
      </c>
      <c r="D6" s="239">
        <v>12191.149328680011</v>
      </c>
      <c r="E6" s="240">
        <v>470</v>
      </c>
      <c r="F6" s="240">
        <v>79.024334271955254</v>
      </c>
      <c r="G6" s="241">
        <v>158.04866854391051</v>
      </c>
      <c r="H6" s="241">
        <v>1080</v>
      </c>
      <c r="I6" s="239">
        <v>950</v>
      </c>
      <c r="J6" s="239">
        <v>1490</v>
      </c>
      <c r="K6" s="242">
        <v>3.02</v>
      </c>
      <c r="L6" s="243">
        <f t="shared" si="1"/>
        <v>2.1987908415456192</v>
      </c>
      <c r="M6" s="244">
        <f t="shared" si="2"/>
        <v>3.0334237554869499</v>
      </c>
      <c r="N6" s="244">
        <f t="shared" si="3"/>
        <v>2.9777236052888476</v>
      </c>
      <c r="O6" s="245">
        <f t="shared" si="4"/>
        <v>3.173186268412274</v>
      </c>
      <c r="Q6" s="19" t="s">
        <v>14</v>
      </c>
      <c r="R6" s="20">
        <f>10^R5</f>
        <v>124623797637.04344</v>
      </c>
      <c r="S6" s="21">
        <f>10^S5</f>
        <v>122763455757.50041</v>
      </c>
      <c r="T6" s="22">
        <f>10^T5</f>
        <v>174625460417.69324</v>
      </c>
    </row>
    <row r="7" spans="2:20" ht="15.6" x14ac:dyDescent="0.3">
      <c r="B7" s="237" t="s">
        <v>221</v>
      </c>
      <c r="C7" s="238" t="s">
        <v>262</v>
      </c>
      <c r="D7" s="239">
        <v>12653.143434712283</v>
      </c>
      <c r="E7" s="240">
        <v>330</v>
      </c>
      <c r="F7" s="240">
        <v>53.47235448207082</v>
      </c>
      <c r="G7" s="241">
        <v>106.94470896414164</v>
      </c>
      <c r="H7" s="241">
        <v>5350</v>
      </c>
      <c r="I7" s="239">
        <v>4290</v>
      </c>
      <c r="J7" s="239">
        <v>7160</v>
      </c>
      <c r="K7" s="242">
        <v>3.41</v>
      </c>
      <c r="L7" s="243">
        <f t="shared" si="1"/>
        <v>2.0291593029372912</v>
      </c>
      <c r="M7" s="244">
        <f t="shared" si="2"/>
        <v>3.7283537820212285</v>
      </c>
      <c r="N7" s="244">
        <f t="shared" si="3"/>
        <v>3.6324572921847245</v>
      </c>
      <c r="O7" s="245">
        <f t="shared" si="4"/>
        <v>3.8549130223078554</v>
      </c>
      <c r="Q7" s="19" t="s">
        <v>15</v>
      </c>
      <c r="R7" s="13">
        <f>SLOPE(M4:M12,$L4:$L12)</f>
        <v>-3.6250934570493456</v>
      </c>
      <c r="S7" s="14">
        <f>SLOPE(N4:N12,$L4:$L12)</f>
        <v>-3.6511357512619358</v>
      </c>
      <c r="T7" s="15">
        <f>SLOPE(O4:O12,$L4:$L12)</f>
        <v>-3.6393833439409033</v>
      </c>
    </row>
    <row r="8" spans="2:20" ht="16.2" thickBot="1" x14ac:dyDescent="0.35">
      <c r="B8" s="237" t="s">
        <v>222</v>
      </c>
      <c r="C8" s="238" t="s">
        <v>262</v>
      </c>
      <c r="D8" s="239">
        <v>15943.606358456607</v>
      </c>
      <c r="E8" s="240">
        <v>220</v>
      </c>
      <c r="F8" s="240">
        <v>28.307422220926153</v>
      </c>
      <c r="G8" s="241">
        <v>56.614844441852306</v>
      </c>
      <c r="H8" s="241">
        <v>50770</v>
      </c>
      <c r="I8" s="239">
        <v>44610</v>
      </c>
      <c r="J8" s="239">
        <v>68990</v>
      </c>
      <c r="K8" s="242">
        <v>3.14</v>
      </c>
      <c r="L8" s="243">
        <f t="shared" si="1"/>
        <v>1.7529303183600839</v>
      </c>
      <c r="M8" s="244">
        <f t="shared" si="2"/>
        <v>4.7056071634046051</v>
      </c>
      <c r="N8" s="244">
        <f t="shared" si="3"/>
        <v>4.6494322232416163</v>
      </c>
      <c r="O8" s="245">
        <f t="shared" si="4"/>
        <v>4.838786144946595</v>
      </c>
      <c r="Q8" s="30" t="s">
        <v>59</v>
      </c>
      <c r="R8" s="31">
        <f>10^((6-R5)/R7)</f>
        <v>25.447597675002989</v>
      </c>
      <c r="S8" s="31">
        <f t="shared" ref="S8:T8" si="5">10^((6-S5)/S7)</f>
        <v>24.764627334842682</v>
      </c>
      <c r="T8" s="167">
        <f t="shared" si="5"/>
        <v>27.56661605757898</v>
      </c>
    </row>
    <row r="9" spans="2:20" ht="15.6" x14ac:dyDescent="0.3">
      <c r="B9" s="237" t="s">
        <v>223</v>
      </c>
      <c r="C9" s="238" t="s">
        <v>262</v>
      </c>
      <c r="D9" s="239">
        <v>11632.704904196346</v>
      </c>
      <c r="E9" s="240">
        <v>440</v>
      </c>
      <c r="F9" s="240">
        <v>77.532815380067305</v>
      </c>
      <c r="G9" s="241">
        <v>155.06563076013461</v>
      </c>
      <c r="H9" s="241">
        <v>1720</v>
      </c>
      <c r="I9" s="239">
        <v>1480</v>
      </c>
      <c r="J9" s="239">
        <v>2110</v>
      </c>
      <c r="K9" s="242">
        <v>3.81</v>
      </c>
      <c r="L9" s="243">
        <f t="shared" si="1"/>
        <v>2.1905155500685196</v>
      </c>
      <c r="M9" s="244">
        <f t="shared" si="2"/>
        <v>3.2355284469075487</v>
      </c>
      <c r="N9" s="244">
        <f t="shared" si="3"/>
        <v>3.1702617153949575</v>
      </c>
      <c r="O9" s="245">
        <f t="shared" si="4"/>
        <v>3.3242824552976926</v>
      </c>
      <c r="Q9" s="139" t="s">
        <v>186</v>
      </c>
      <c r="R9" s="138">
        <f>R6*50^R7</f>
        <v>86432.273120214231</v>
      </c>
      <c r="S9" s="5">
        <f>S6*50^S7</f>
        <v>76895.155948378393</v>
      </c>
      <c r="T9" s="137">
        <f>T6*50^T7</f>
        <v>114526.0886001614</v>
      </c>
    </row>
    <row r="10" spans="2:20" ht="16.2" thickBot="1" x14ac:dyDescent="0.35">
      <c r="B10" s="237" t="s">
        <v>224</v>
      </c>
      <c r="C10" s="238" t="s">
        <v>262</v>
      </c>
      <c r="D10" s="239">
        <v>15006.013053397362</v>
      </c>
      <c r="E10" s="240">
        <v>220</v>
      </c>
      <c r="F10" s="240">
        <v>30.061137950056153</v>
      </c>
      <c r="G10" s="241">
        <v>60.122275900112307</v>
      </c>
      <c r="H10" s="241">
        <v>58170</v>
      </c>
      <c r="I10" s="239">
        <v>51850</v>
      </c>
      <c r="J10" s="239">
        <v>72800</v>
      </c>
      <c r="K10" s="242">
        <v>3.45</v>
      </c>
      <c r="L10" s="243">
        <f t="shared" si="1"/>
        <v>1.77903541223676</v>
      </c>
      <c r="M10" s="244">
        <f t="shared" si="2"/>
        <v>4.7646990637983677</v>
      </c>
      <c r="N10" s="244">
        <f t="shared" si="3"/>
        <v>4.71474876072506</v>
      </c>
      <c r="O10" s="245">
        <f t="shared" si="4"/>
        <v>4.8621313793130376</v>
      </c>
      <c r="Q10" s="30" t="s">
        <v>187</v>
      </c>
      <c r="R10" s="31">
        <f>R6*100^R7</f>
        <v>7005.0956100721214</v>
      </c>
      <c r="S10" s="26">
        <f>S6*100^S7</f>
        <v>6120.6508023890901</v>
      </c>
      <c r="T10" s="27">
        <f>T6*100^T7</f>
        <v>9190.5367565230936</v>
      </c>
    </row>
    <row r="11" spans="2:20" x14ac:dyDescent="0.3">
      <c r="B11" s="237" t="s">
        <v>225</v>
      </c>
      <c r="C11" s="238" t="s">
        <v>262</v>
      </c>
      <c r="D11" s="239">
        <v>15967.01967031391</v>
      </c>
      <c r="E11" s="240">
        <v>220</v>
      </c>
      <c r="F11" s="240">
        <v>27.488828598985968</v>
      </c>
      <c r="G11" s="241">
        <v>54.977657197971936</v>
      </c>
      <c r="H11" s="241">
        <v>52800</v>
      </c>
      <c r="I11" s="239">
        <v>49000</v>
      </c>
      <c r="J11" s="239">
        <v>71970</v>
      </c>
      <c r="K11" s="242">
        <v>3.49</v>
      </c>
      <c r="L11" s="243">
        <f t="shared" si="1"/>
        <v>1.7401862290019627</v>
      </c>
      <c r="M11" s="244">
        <f t="shared" si="2"/>
        <v>4.7226339225338121</v>
      </c>
      <c r="N11" s="244">
        <f t="shared" si="3"/>
        <v>4.6901960800285138</v>
      </c>
      <c r="O11" s="245">
        <f t="shared" si="4"/>
        <v>4.8571515026874934</v>
      </c>
    </row>
    <row r="12" spans="2:20" ht="15" thickBot="1" x14ac:dyDescent="0.35">
      <c r="B12" s="246" t="s">
        <v>226</v>
      </c>
      <c r="C12" s="247" t="s">
        <v>262</v>
      </c>
      <c r="D12" s="248">
        <v>12325.964390724637</v>
      </c>
      <c r="E12" s="249">
        <v>450</v>
      </c>
      <c r="F12" s="249">
        <v>74.843303053276358</v>
      </c>
      <c r="G12" s="250">
        <v>149.68660610655272</v>
      </c>
      <c r="H12" s="250">
        <v>1350</v>
      </c>
      <c r="I12" s="248">
        <v>1250</v>
      </c>
      <c r="J12" s="248">
        <v>1840</v>
      </c>
      <c r="K12" s="251">
        <v>3.39</v>
      </c>
      <c r="L12" s="252">
        <f t="shared" si="1"/>
        <v>2.1751829415971993</v>
      </c>
      <c r="M12" s="253">
        <f t="shared" si="2"/>
        <v>3.1303337684950061</v>
      </c>
      <c r="N12" s="253">
        <f t="shared" si="3"/>
        <v>3.0969100130080562</v>
      </c>
      <c r="O12" s="254">
        <f t="shared" si="4"/>
        <v>3.2648178230095364</v>
      </c>
    </row>
    <row r="13" spans="2:20" ht="16.2" thickBot="1" x14ac:dyDescent="0.35">
      <c r="B13" s="255" t="s">
        <v>17</v>
      </c>
      <c r="C13" s="230" t="s">
        <v>263</v>
      </c>
      <c r="D13" s="230">
        <v>13428.932260379655</v>
      </c>
      <c r="E13" s="231">
        <v>280</v>
      </c>
      <c r="F13" s="231">
        <v>42.74423029231022</v>
      </c>
      <c r="G13" s="231">
        <v>85.488460584620441</v>
      </c>
      <c r="H13" s="230">
        <v>14150</v>
      </c>
      <c r="I13" s="230">
        <v>11990</v>
      </c>
      <c r="J13" s="256">
        <v>17630</v>
      </c>
      <c r="K13" s="233">
        <v>3.3858377708496423</v>
      </c>
      <c r="L13" s="234">
        <v>1.9319074966855958</v>
      </c>
      <c r="M13" s="235">
        <v>4.1507564398603094</v>
      </c>
      <c r="N13" s="235">
        <v>4.0788191830988483</v>
      </c>
      <c r="O13" s="236">
        <v>4.2462523122993217</v>
      </c>
      <c r="Q13" s="40" t="s">
        <v>267</v>
      </c>
      <c r="R13" s="41" t="s">
        <v>3</v>
      </c>
      <c r="S13" s="16" t="s">
        <v>4</v>
      </c>
      <c r="T13" s="17" t="s">
        <v>5</v>
      </c>
    </row>
    <row r="14" spans="2:20" ht="15.6" x14ac:dyDescent="0.3">
      <c r="B14" s="257" t="s">
        <v>18</v>
      </c>
      <c r="C14" s="239" t="s">
        <v>263</v>
      </c>
      <c r="D14" s="239">
        <v>11651.889474874881</v>
      </c>
      <c r="E14" s="240">
        <v>270</v>
      </c>
      <c r="F14" s="240">
        <v>47.519450829909914</v>
      </c>
      <c r="G14" s="240">
        <v>95.038901659819828</v>
      </c>
      <c r="H14" s="239">
        <v>11610</v>
      </c>
      <c r="I14" s="239">
        <v>9650</v>
      </c>
      <c r="J14" s="258">
        <v>13850</v>
      </c>
      <c r="K14" s="242">
        <v>3.0067194961712285</v>
      </c>
      <c r="L14" s="243">
        <v>1.9779014086363209</v>
      </c>
      <c r="M14" s="244">
        <v>4.064832219738574</v>
      </c>
      <c r="N14" s="244">
        <v>3.9845273133437926</v>
      </c>
      <c r="O14" s="245">
        <v>4.1414497734004669</v>
      </c>
      <c r="Q14" s="18" t="s">
        <v>13</v>
      </c>
      <c r="R14" s="168">
        <f>INTERCEPT(M13:M20,$L13:$L20)</f>
        <v>11.263776155262864</v>
      </c>
      <c r="S14" s="7">
        <f>INTERCEPT(N13:N20,$L13:$L20)</f>
        <v>11.229372607598988</v>
      </c>
      <c r="T14" s="8">
        <f>INTERCEPT(O13:O20,$L13:$L20)</f>
        <v>11.429096318542454</v>
      </c>
    </row>
    <row r="15" spans="2:20" x14ac:dyDescent="0.3">
      <c r="B15" s="257" t="s">
        <v>19</v>
      </c>
      <c r="C15" s="239" t="s">
        <v>263</v>
      </c>
      <c r="D15" s="239">
        <v>12878.37876433772</v>
      </c>
      <c r="E15" s="240">
        <v>280</v>
      </c>
      <c r="F15" s="240">
        <v>44.631289869465398</v>
      </c>
      <c r="G15" s="240">
        <v>89.262579738930796</v>
      </c>
      <c r="H15" s="239">
        <v>12320</v>
      </c>
      <c r="I15" s="239">
        <v>10150</v>
      </c>
      <c r="J15" s="258">
        <v>16290</v>
      </c>
      <c r="K15" s="242">
        <v>3.1957941746024954</v>
      </c>
      <c r="L15" s="243">
        <v>1.9506694340415107</v>
      </c>
      <c r="M15" s="244">
        <v>4.0906107078284064</v>
      </c>
      <c r="N15" s="244">
        <v>4.0064660422492313</v>
      </c>
      <c r="O15" s="245">
        <v>4.2119210843085098</v>
      </c>
      <c r="Q15" s="19" t="s">
        <v>14</v>
      </c>
      <c r="R15" s="169">
        <f>10^R14</f>
        <v>183559199580.47491</v>
      </c>
      <c r="S15" s="21">
        <f>10^S14</f>
        <v>169579209947.41647</v>
      </c>
      <c r="T15" s="22">
        <f>10^T14</f>
        <v>268594007180.07578</v>
      </c>
    </row>
    <row r="16" spans="2:20" ht="15.6" x14ac:dyDescent="0.3">
      <c r="B16" s="257" t="s">
        <v>20</v>
      </c>
      <c r="C16" s="239" t="s">
        <v>263</v>
      </c>
      <c r="D16" s="239">
        <v>12597.792689762164</v>
      </c>
      <c r="E16" s="240">
        <v>450</v>
      </c>
      <c r="F16" s="240">
        <v>73.217472330708631</v>
      </c>
      <c r="G16" s="240">
        <v>146.43494466141726</v>
      </c>
      <c r="H16" s="239">
        <v>1690</v>
      </c>
      <c r="I16" s="239">
        <v>1490</v>
      </c>
      <c r="J16" s="258">
        <v>2090</v>
      </c>
      <c r="K16" s="242">
        <v>2.5419511372109405</v>
      </c>
      <c r="L16" s="243">
        <v>2.1656447274237269</v>
      </c>
      <c r="M16" s="244">
        <v>3.2278867046136734</v>
      </c>
      <c r="N16" s="244">
        <v>3.173186268412274</v>
      </c>
      <c r="O16" s="245">
        <v>3.3201462861110542</v>
      </c>
      <c r="Q16" s="19" t="s">
        <v>15</v>
      </c>
      <c r="R16" s="170">
        <f>SLOPE(M13:M20,$L13:$L20)</f>
        <v>-3.6964078557719096</v>
      </c>
      <c r="S16" s="14">
        <f>SLOPE(N13:N20,$L13:$L20)</f>
        <v>-3.70559352926304</v>
      </c>
      <c r="T16" s="15">
        <f>SLOPE(O13:O20,$L13:$L20)</f>
        <v>-3.7298778672841615</v>
      </c>
    </row>
    <row r="17" spans="2:28" ht="16.2" thickBot="1" x14ac:dyDescent="0.35">
      <c r="B17" s="257" t="s">
        <v>21</v>
      </c>
      <c r="C17" s="239" t="s">
        <v>263</v>
      </c>
      <c r="D17" s="239">
        <v>12503.804534347109</v>
      </c>
      <c r="E17" s="240">
        <v>470</v>
      </c>
      <c r="F17" s="240">
        <v>77.0316384567966</v>
      </c>
      <c r="G17" s="240">
        <v>154.0632769135932</v>
      </c>
      <c r="H17" s="239">
        <v>1370</v>
      </c>
      <c r="I17" s="239">
        <v>1220</v>
      </c>
      <c r="J17" s="258">
        <v>1660</v>
      </c>
      <c r="K17" s="242">
        <v>3.9130950906580364</v>
      </c>
      <c r="L17" s="243">
        <v>2.187699131032363</v>
      </c>
      <c r="M17" s="244">
        <v>3.1367205671564067</v>
      </c>
      <c r="N17" s="244">
        <v>3.0863598306747484</v>
      </c>
      <c r="O17" s="245">
        <v>3.220108088040055</v>
      </c>
      <c r="Q17" s="30" t="s">
        <v>59</v>
      </c>
      <c r="R17" s="143">
        <f>10^((6-R14)/R16)</f>
        <v>26.547566553223966</v>
      </c>
      <c r="S17" s="31">
        <f t="shared" ref="S17:T17" si="6">10^((6-S14)/S16)</f>
        <v>25.775703642773745</v>
      </c>
      <c r="T17" s="167">
        <f t="shared" si="6"/>
        <v>28.547590699817874</v>
      </c>
    </row>
    <row r="18" spans="2:28" ht="15.6" x14ac:dyDescent="0.3">
      <c r="B18" s="257" t="s">
        <v>22</v>
      </c>
      <c r="C18" s="239" t="s">
        <v>263</v>
      </c>
      <c r="D18" s="239">
        <v>12143.380943768752</v>
      </c>
      <c r="E18" s="240">
        <v>450</v>
      </c>
      <c r="F18" s="240">
        <v>75.963632436805312</v>
      </c>
      <c r="G18" s="240">
        <v>151.92726487361062</v>
      </c>
      <c r="H18" s="239">
        <v>1520</v>
      </c>
      <c r="I18" s="239">
        <v>1450</v>
      </c>
      <c r="J18" s="258">
        <v>1940</v>
      </c>
      <c r="K18" s="242">
        <v>2.6356960179285793</v>
      </c>
      <c r="L18" s="243">
        <v>2.1816357193637974</v>
      </c>
      <c r="M18" s="244">
        <v>3.1818435879447726</v>
      </c>
      <c r="N18" s="244">
        <v>3.1613680022349748</v>
      </c>
      <c r="O18" s="245">
        <v>3.287801729930226</v>
      </c>
      <c r="Q18" s="141" t="s">
        <v>184</v>
      </c>
      <c r="R18" s="142">
        <f>R15*50^R16</f>
        <v>96314.147404975054</v>
      </c>
      <c r="S18" s="5">
        <f>S15*50^S16</f>
        <v>85838.150801918819</v>
      </c>
      <c r="T18" s="137">
        <f>T15*50^T16</f>
        <v>123636.21531018065</v>
      </c>
    </row>
    <row r="19" spans="2:28" ht="16.2" thickBot="1" x14ac:dyDescent="0.35">
      <c r="B19" s="257" t="s">
        <v>23</v>
      </c>
      <c r="C19" s="239" t="s">
        <v>263</v>
      </c>
      <c r="D19" s="239">
        <v>13837.325106463801</v>
      </c>
      <c r="E19" s="240">
        <v>190</v>
      </c>
      <c r="F19" s="240">
        <v>28.159001276025425</v>
      </c>
      <c r="G19" s="240">
        <v>56.318002552050849</v>
      </c>
      <c r="H19" s="239">
        <v>52500</v>
      </c>
      <c r="I19" s="239">
        <v>49800</v>
      </c>
      <c r="J19" s="258">
        <v>63650</v>
      </c>
      <c r="K19" s="242">
        <v>3.8887509030804956</v>
      </c>
      <c r="L19" s="243">
        <v>1.7506472431510014</v>
      </c>
      <c r="M19" s="244">
        <v>4.720159303405957</v>
      </c>
      <c r="N19" s="244">
        <v>4.6972293427597176</v>
      </c>
      <c r="O19" s="245">
        <v>4.8037984079896745</v>
      </c>
      <c r="Q19" s="77" t="s">
        <v>185</v>
      </c>
      <c r="R19" s="143">
        <f>R15*100^R16</f>
        <v>7429.5146553026843</v>
      </c>
      <c r="S19" s="26">
        <f>S15*100^S16</f>
        <v>6579.3887678498686</v>
      </c>
      <c r="T19" s="27">
        <f>T15*100^T16</f>
        <v>9318.3835861453954</v>
      </c>
    </row>
    <row r="20" spans="2:28" ht="16.8" thickBot="1" x14ac:dyDescent="0.35">
      <c r="B20" s="259" t="s">
        <v>261</v>
      </c>
      <c r="C20" s="260" t="s">
        <v>263</v>
      </c>
      <c r="D20" s="260">
        <v>13168.621080953308</v>
      </c>
      <c r="E20" s="261">
        <v>190</v>
      </c>
      <c r="F20" s="261">
        <v>28.038507315467005</v>
      </c>
      <c r="G20" s="261">
        <v>56.077014630934009</v>
      </c>
      <c r="H20" s="260">
        <v>60730</v>
      </c>
      <c r="I20" s="260">
        <v>55850</v>
      </c>
      <c r="J20" s="262">
        <v>82280</v>
      </c>
      <c r="K20" s="263">
        <v>4.8887509030805001</v>
      </c>
      <c r="L20" s="264">
        <v>1.748784885061619</v>
      </c>
      <c r="M20" s="265">
        <v>4.7834032811225633</v>
      </c>
      <c r="N20" s="265">
        <v>4.7470231774516281</v>
      </c>
      <c r="O20" s="266">
        <v>4.9152942830226865</v>
      </c>
      <c r="X20" s="316" t="s">
        <v>272</v>
      </c>
      <c r="Y20" s="318" t="s">
        <v>281</v>
      </c>
      <c r="Z20" s="318"/>
      <c r="AA20" s="318"/>
    </row>
    <row r="21" spans="2:28" ht="16.8" thickBot="1" x14ac:dyDescent="0.35">
      <c r="B21" s="267" t="s">
        <v>42</v>
      </c>
      <c r="C21" s="268" t="s">
        <v>264</v>
      </c>
      <c r="D21" s="269">
        <v>12665.995348068916</v>
      </c>
      <c r="E21" s="270">
        <v>190</v>
      </c>
      <c r="F21" s="271">
        <v>30.748498162512735</v>
      </c>
      <c r="G21" s="271">
        <v>61.496996325025471</v>
      </c>
      <c r="H21" s="269">
        <v>25160</v>
      </c>
      <c r="I21" s="269">
        <v>23770</v>
      </c>
      <c r="J21" s="269">
        <v>32130</v>
      </c>
      <c r="K21" s="272">
        <v>2.8645049592039284</v>
      </c>
      <c r="L21" s="273">
        <f>LOG(G21)</f>
        <v>1.7888539042091818</v>
      </c>
      <c r="M21" s="274">
        <f t="shared" ref="M21:O21" si="7">LOG(H21)</f>
        <v>4.4007106367732316</v>
      </c>
      <c r="N21" s="274">
        <f t="shared" si="7"/>
        <v>4.37602918172818</v>
      </c>
      <c r="O21" s="275">
        <f t="shared" si="7"/>
        <v>4.5069107255515179</v>
      </c>
      <c r="Q21" s="40" t="s">
        <v>269</v>
      </c>
      <c r="R21" s="41" t="s">
        <v>3</v>
      </c>
      <c r="S21" s="16" t="s">
        <v>4</v>
      </c>
      <c r="T21" s="17" t="s">
        <v>5</v>
      </c>
      <c r="X21" s="317"/>
      <c r="Y21" s="197" t="s">
        <v>278</v>
      </c>
      <c r="Z21" s="198" t="s">
        <v>279</v>
      </c>
      <c r="AA21" s="198" t="s">
        <v>280</v>
      </c>
    </row>
    <row r="22" spans="2:28" ht="15.6" x14ac:dyDescent="0.3">
      <c r="B22" s="237" t="s">
        <v>43</v>
      </c>
      <c r="C22" s="276" t="s">
        <v>264</v>
      </c>
      <c r="D22" s="239">
        <v>15167.855464504128</v>
      </c>
      <c r="E22" s="258">
        <v>280</v>
      </c>
      <c r="F22" s="240">
        <v>37.829257753911001</v>
      </c>
      <c r="G22" s="240">
        <v>75.658515507822003</v>
      </c>
      <c r="H22" s="239">
        <v>11530</v>
      </c>
      <c r="I22" s="239">
        <v>10070</v>
      </c>
      <c r="J22" s="239">
        <v>13910</v>
      </c>
      <c r="K22" s="242">
        <v>3.6161401961747219</v>
      </c>
      <c r="L22" s="243">
        <f t="shared" ref="L22:L31" si="8">LOG(G22)</f>
        <v>1.8788578157686977</v>
      </c>
      <c r="M22" s="244">
        <f t="shared" ref="M22:M31" si="9">LOG(H22)</f>
        <v>4.0618293072946994</v>
      </c>
      <c r="N22" s="244">
        <f t="shared" ref="N22:N31" si="10">LOG(I22)</f>
        <v>4.003029470553618</v>
      </c>
      <c r="O22" s="245">
        <f t="shared" ref="O22:O31" si="11">LOG(J22)</f>
        <v>4.1433271299920467</v>
      </c>
      <c r="Q22" s="18" t="s">
        <v>13</v>
      </c>
      <c r="R22" s="6">
        <f>INTERCEPT(M21:M31,$L21:$L31)</f>
        <v>11.279256658532862</v>
      </c>
      <c r="S22" s="7">
        <f>INTERCEPT(N21:N31,$L21:$L31)</f>
        <v>11.258824087781917</v>
      </c>
      <c r="T22" s="8">
        <f>INTERCEPT(O21:O31,$L21:$L31)</f>
        <v>11.323444779082955</v>
      </c>
      <c r="X22" s="199" t="s">
        <v>262</v>
      </c>
      <c r="Y22" s="200">
        <f>R8</f>
        <v>25.447597675002989</v>
      </c>
      <c r="Z22" s="200">
        <f>S8</f>
        <v>24.764627334842682</v>
      </c>
      <c r="AA22" s="200">
        <f>T8</f>
        <v>27.56661605757898</v>
      </c>
    </row>
    <row r="23" spans="2:28" x14ac:dyDescent="0.3">
      <c r="B23" s="237" t="s">
        <v>44</v>
      </c>
      <c r="C23" s="276" t="s">
        <v>264</v>
      </c>
      <c r="D23" s="239">
        <v>12886.492458428074</v>
      </c>
      <c r="E23" s="258">
        <v>470</v>
      </c>
      <c r="F23" s="240">
        <v>74.767158008376001</v>
      </c>
      <c r="G23" s="240">
        <v>149.534316016752</v>
      </c>
      <c r="H23" s="239">
        <v>1480</v>
      </c>
      <c r="I23" s="239">
        <v>1350</v>
      </c>
      <c r="J23" s="239">
        <v>1870</v>
      </c>
      <c r="K23" s="242">
        <v>3.5126279901531832</v>
      </c>
      <c r="L23" s="243">
        <f t="shared" si="8"/>
        <v>2.1747408685570493</v>
      </c>
      <c r="M23" s="244">
        <f t="shared" si="9"/>
        <v>3.1702617153949575</v>
      </c>
      <c r="N23" s="244">
        <f t="shared" si="10"/>
        <v>3.1303337684950061</v>
      </c>
      <c r="O23" s="245">
        <f t="shared" si="11"/>
        <v>3.271841606536499</v>
      </c>
      <c r="Q23" s="19" t="s">
        <v>14</v>
      </c>
      <c r="R23" s="20">
        <f>10^R22</f>
        <v>190220210762.15561</v>
      </c>
      <c r="S23" s="21">
        <f>10^S22</f>
        <v>181478043189.15729</v>
      </c>
      <c r="T23" s="22">
        <f>10^T22</f>
        <v>210593411063.27145</v>
      </c>
      <c r="X23" s="201" t="s">
        <v>263</v>
      </c>
      <c r="Y23" s="202">
        <f>R17</f>
        <v>26.547566553223966</v>
      </c>
      <c r="Z23" s="202">
        <f>S17</f>
        <v>25.775703642773745</v>
      </c>
      <c r="AA23" s="202">
        <f>T17</f>
        <v>28.547590699817874</v>
      </c>
    </row>
    <row r="24" spans="2:28" ht="15.6" x14ac:dyDescent="0.3">
      <c r="B24" s="237" t="s">
        <v>45</v>
      </c>
      <c r="C24" s="276" t="s">
        <v>264</v>
      </c>
      <c r="D24" s="239">
        <v>13324.547817203927</v>
      </c>
      <c r="E24" s="258">
        <v>280</v>
      </c>
      <c r="F24" s="240">
        <v>43.068700635007218</v>
      </c>
      <c r="G24" s="240">
        <v>86.137401270014436</v>
      </c>
      <c r="H24" s="239">
        <v>12160</v>
      </c>
      <c r="I24" s="239">
        <v>10200</v>
      </c>
      <c r="J24" s="239">
        <v>15900</v>
      </c>
      <c r="K24" s="242">
        <v>3.908539691830959</v>
      </c>
      <c r="L24" s="243">
        <f t="shared" si="8"/>
        <v>1.9351917651382433</v>
      </c>
      <c r="M24" s="244">
        <f t="shared" si="9"/>
        <v>4.0849335749367164</v>
      </c>
      <c r="N24" s="244">
        <f t="shared" si="10"/>
        <v>4.008600171761918</v>
      </c>
      <c r="O24" s="245">
        <f t="shared" si="11"/>
        <v>4.2013971243204518</v>
      </c>
      <c r="Q24" s="19" t="s">
        <v>15</v>
      </c>
      <c r="R24" s="13">
        <f>SLOPE(M21:M31,$L21:$L31)</f>
        <v>-3.7542741001849982</v>
      </c>
      <c r="S24" s="14">
        <f>SLOPE(N21:N31,$L21:$L31)</f>
        <v>-3.7663420565080976</v>
      </c>
      <c r="T24" s="15">
        <f>SLOPE(O21:O31,$L21:$L31)</f>
        <v>-3.7246047873809123</v>
      </c>
      <c r="X24" s="201" t="s">
        <v>264</v>
      </c>
      <c r="Y24" s="202">
        <f>R25</f>
        <v>25.479977849275958</v>
      </c>
      <c r="Z24" s="202">
        <f>S25</f>
        <v>24.903954710105605</v>
      </c>
      <c r="AA24" s="202">
        <f>T25</f>
        <v>26.869793792273928</v>
      </c>
    </row>
    <row r="25" spans="2:28" ht="16.2" thickBot="1" x14ac:dyDescent="0.35">
      <c r="B25" s="237" t="s">
        <v>46</v>
      </c>
      <c r="C25" s="276" t="s">
        <v>264</v>
      </c>
      <c r="D25" s="239">
        <v>12007.51650859919</v>
      </c>
      <c r="E25" s="258">
        <v>280</v>
      </c>
      <c r="F25" s="240">
        <v>47.786452334907729</v>
      </c>
      <c r="G25" s="240">
        <v>95.572904669815458</v>
      </c>
      <c r="H25" s="239">
        <v>8640</v>
      </c>
      <c r="I25" s="239">
        <v>7890</v>
      </c>
      <c r="J25" s="239">
        <v>10720</v>
      </c>
      <c r="K25" s="242">
        <v>4.7313801986754385</v>
      </c>
      <c r="L25" s="243">
        <f t="shared" si="8"/>
        <v>1.9803347853694637</v>
      </c>
      <c r="M25" s="244">
        <f t="shared" si="9"/>
        <v>3.9365137424788932</v>
      </c>
      <c r="N25" s="244">
        <f t="shared" si="10"/>
        <v>3.8970770032094202</v>
      </c>
      <c r="O25" s="245">
        <f t="shared" si="11"/>
        <v>4.030194785356751</v>
      </c>
      <c r="Q25" s="30" t="s">
        <v>59</v>
      </c>
      <c r="R25" s="31">
        <f>10^((6-R22)/R24)</f>
        <v>25.479977849275958</v>
      </c>
      <c r="S25" s="31">
        <f t="shared" ref="S25:T25" si="12">10^((6-S22)/S24)</f>
        <v>24.903954710105605</v>
      </c>
      <c r="T25" s="167">
        <f t="shared" si="12"/>
        <v>26.869793792273928</v>
      </c>
      <c r="X25" s="199" t="s">
        <v>265</v>
      </c>
      <c r="Y25" s="200">
        <f>R39</f>
        <v>24.865104377909148</v>
      </c>
      <c r="Z25" s="200">
        <f>S39</f>
        <v>24.976006895818323</v>
      </c>
      <c r="AA25" s="200">
        <f>T39</f>
        <v>27.94067833128431</v>
      </c>
    </row>
    <row r="26" spans="2:28" ht="15.6" x14ac:dyDescent="0.3">
      <c r="B26" s="237" t="s">
        <v>47</v>
      </c>
      <c r="C26" s="276" t="s">
        <v>264</v>
      </c>
      <c r="D26" s="239">
        <v>13732.545625671106</v>
      </c>
      <c r="E26" s="258">
        <v>210</v>
      </c>
      <c r="F26" s="240">
        <v>31.35279374644616</v>
      </c>
      <c r="G26" s="240">
        <v>62.70558749289232</v>
      </c>
      <c r="H26" s="239">
        <v>48790</v>
      </c>
      <c r="I26" s="239">
        <v>43240</v>
      </c>
      <c r="J26" s="239">
        <v>57850</v>
      </c>
      <c r="K26" s="242">
        <v>3.8795190239885757</v>
      </c>
      <c r="L26" s="243">
        <f t="shared" si="8"/>
        <v>1.797306241137153</v>
      </c>
      <c r="M26" s="244">
        <f t="shared" si="9"/>
        <v>4.6883308181122665</v>
      </c>
      <c r="N26" s="244">
        <f t="shared" si="10"/>
        <v>4.6358856852812727</v>
      </c>
      <c r="O26" s="245">
        <f t="shared" si="11"/>
        <v>4.762303363287768</v>
      </c>
      <c r="Q26" s="141" t="s">
        <v>184</v>
      </c>
      <c r="R26" s="142">
        <f>R23*50^R24</f>
        <v>79589.829485368187</v>
      </c>
      <c r="S26" s="5">
        <f>S23*50^S24</f>
        <v>72430.570794710133</v>
      </c>
      <c r="T26" s="137">
        <f>T23*50^T24</f>
        <v>98958.468925421839</v>
      </c>
      <c r="X26" s="196" t="s">
        <v>266</v>
      </c>
      <c r="Y26" s="203">
        <f>R49</f>
        <v>25.633761261956717</v>
      </c>
      <c r="Z26" s="203">
        <f>S49</f>
        <v>25.682204382387575</v>
      </c>
      <c r="AA26" s="203">
        <f>T49</f>
        <v>28.288623909044226</v>
      </c>
    </row>
    <row r="27" spans="2:28" ht="16.2" thickBot="1" x14ac:dyDescent="0.35">
      <c r="B27" s="257" t="s">
        <v>48</v>
      </c>
      <c r="C27" s="276" t="s">
        <v>264</v>
      </c>
      <c r="D27" s="239">
        <v>15211.50941056402</v>
      </c>
      <c r="E27" s="258">
        <v>200</v>
      </c>
      <c r="F27" s="240">
        <v>26.955605809138831</v>
      </c>
      <c r="G27" s="240">
        <v>53.911211618277662</v>
      </c>
      <c r="H27" s="239">
        <v>39420</v>
      </c>
      <c r="I27" s="239">
        <v>38840</v>
      </c>
      <c r="J27" s="239">
        <v>52460</v>
      </c>
      <c r="K27" s="242">
        <v>3.6630526514781936</v>
      </c>
      <c r="L27" s="243">
        <f t="shared" si="8"/>
        <v>1.7316790924151533</v>
      </c>
      <c r="M27" s="244">
        <f t="shared" si="9"/>
        <v>4.5957166199434241</v>
      </c>
      <c r="N27" s="244">
        <f t="shared" si="10"/>
        <v>4.5892792212359677</v>
      </c>
      <c r="O27" s="245">
        <f t="shared" si="11"/>
        <v>4.7198282862543346</v>
      </c>
      <c r="Q27" s="77" t="s">
        <v>185</v>
      </c>
      <c r="R27" s="143">
        <f>R23*100^R24</f>
        <v>5898.0501120812769</v>
      </c>
      <c r="S27" s="26">
        <f>S23*100^S24</f>
        <v>5322.7978742613295</v>
      </c>
      <c r="T27" s="27">
        <f>T23*100^T24</f>
        <v>7485.7480236707133</v>
      </c>
    </row>
    <row r="28" spans="2:28" x14ac:dyDescent="0.3">
      <c r="B28" s="237" t="s">
        <v>49</v>
      </c>
      <c r="C28" s="276" t="s">
        <v>264</v>
      </c>
      <c r="D28" s="239">
        <v>13007.295582035265</v>
      </c>
      <c r="E28" s="258">
        <v>190</v>
      </c>
      <c r="F28" s="240">
        <v>29.928692366602149</v>
      </c>
      <c r="G28" s="240">
        <v>59.857384733204299</v>
      </c>
      <c r="H28" s="239">
        <v>55740</v>
      </c>
      <c r="I28" s="239">
        <v>48040</v>
      </c>
      <c r="J28" s="239">
        <v>69390</v>
      </c>
      <c r="K28" s="242">
        <v>3.5220391532266415</v>
      </c>
      <c r="L28" s="243">
        <f t="shared" si="8"/>
        <v>1.7771177378842242</v>
      </c>
      <c r="M28" s="244">
        <f t="shared" si="9"/>
        <v>4.7461669643772852</v>
      </c>
      <c r="N28" s="244">
        <f t="shared" si="10"/>
        <v>4.6816029987308685</v>
      </c>
      <c r="O28" s="245">
        <f t="shared" si="11"/>
        <v>4.841296887490282</v>
      </c>
    </row>
    <row r="29" spans="2:28" x14ac:dyDescent="0.3">
      <c r="B29" s="237" t="s">
        <v>50</v>
      </c>
      <c r="C29" s="276" t="s">
        <v>264</v>
      </c>
      <c r="D29" s="239">
        <v>12804.27964430799</v>
      </c>
      <c r="E29" s="258">
        <v>190</v>
      </c>
      <c r="F29" s="240">
        <v>30.423401273730335</v>
      </c>
      <c r="G29" s="240">
        <v>60.846802547460669</v>
      </c>
      <c r="H29" s="239">
        <v>52490</v>
      </c>
      <c r="I29" s="239">
        <v>48390</v>
      </c>
      <c r="J29" s="239">
        <v>64190</v>
      </c>
      <c r="K29" s="242">
        <v>4.2380000700544489</v>
      </c>
      <c r="L29" s="243">
        <f t="shared" si="8"/>
        <v>1.7842377613256695</v>
      </c>
      <c r="M29" s="244">
        <f t="shared" si="9"/>
        <v>4.7200765727681402</v>
      </c>
      <c r="N29" s="244">
        <f t="shared" si="10"/>
        <v>4.6847556221086242</v>
      </c>
      <c r="O29" s="245">
        <f t="shared" si="11"/>
        <v>4.8074673756842783</v>
      </c>
    </row>
    <row r="30" spans="2:28" ht="16.2" x14ac:dyDescent="0.3">
      <c r="B30" s="237" t="s">
        <v>51</v>
      </c>
      <c r="C30" s="276" t="s">
        <v>264</v>
      </c>
      <c r="D30" s="239">
        <v>14646.623509463447</v>
      </c>
      <c r="E30" s="258">
        <v>470</v>
      </c>
      <c r="F30" s="240">
        <v>65.764902038205989</v>
      </c>
      <c r="G30" s="240">
        <v>131.52980407641198</v>
      </c>
      <c r="H30" s="239">
        <v>1290</v>
      </c>
      <c r="I30" s="239">
        <v>1140</v>
      </c>
      <c r="J30" s="239">
        <v>1720</v>
      </c>
      <c r="K30" s="242">
        <v>3.7970507070226645</v>
      </c>
      <c r="L30" s="243">
        <f t="shared" si="8"/>
        <v>2.1190241732007968</v>
      </c>
      <c r="M30" s="244">
        <f t="shared" si="9"/>
        <v>3.1105897102992488</v>
      </c>
      <c r="N30" s="244">
        <f t="shared" si="10"/>
        <v>3.0569048513364727</v>
      </c>
      <c r="O30" s="245">
        <f t="shared" si="11"/>
        <v>3.2355284469075487</v>
      </c>
      <c r="X30" s="310" t="s">
        <v>272</v>
      </c>
      <c r="Y30" s="209" t="s">
        <v>282</v>
      </c>
      <c r="Z30" s="209" t="s">
        <v>283</v>
      </c>
      <c r="AA30" s="209" t="s">
        <v>284</v>
      </c>
      <c r="AB30" s="209" t="s">
        <v>285</v>
      </c>
    </row>
    <row r="31" spans="2:28" ht="15" thickBot="1" x14ac:dyDescent="0.35">
      <c r="B31" s="246" t="s">
        <v>52</v>
      </c>
      <c r="C31" s="277" t="s">
        <v>264</v>
      </c>
      <c r="D31" s="248">
        <v>12474.864274626754</v>
      </c>
      <c r="E31" s="278">
        <v>450</v>
      </c>
      <c r="F31" s="249">
        <v>73.95146364807708</v>
      </c>
      <c r="G31" s="249">
        <v>147.90292729615416</v>
      </c>
      <c r="H31" s="248">
        <v>1590</v>
      </c>
      <c r="I31" s="248">
        <v>1490</v>
      </c>
      <c r="J31" s="248">
        <v>2040</v>
      </c>
      <c r="K31" s="251">
        <v>4.2262698263548</v>
      </c>
      <c r="L31" s="252">
        <f t="shared" si="8"/>
        <v>2.1699767696425023</v>
      </c>
      <c r="M31" s="253">
        <f t="shared" si="9"/>
        <v>3.2013971243204513</v>
      </c>
      <c r="N31" s="253">
        <f t="shared" si="10"/>
        <v>3.173186268412274</v>
      </c>
      <c r="O31" s="254">
        <f t="shared" si="11"/>
        <v>3.3096301674258988</v>
      </c>
      <c r="X31" s="311"/>
      <c r="Y31" s="197" t="s">
        <v>12</v>
      </c>
      <c r="Z31" s="197" t="s">
        <v>12</v>
      </c>
      <c r="AA31" s="197" t="s">
        <v>12</v>
      </c>
      <c r="AB31" s="197" t="s">
        <v>10</v>
      </c>
    </row>
    <row r="32" spans="2:28" x14ac:dyDescent="0.3">
      <c r="B32" s="228" t="s">
        <v>24</v>
      </c>
      <c r="C32" s="279" t="s">
        <v>265</v>
      </c>
      <c r="D32" s="230">
        <f>[1]C4_SP2_50_F!$M$93</f>
        <v>13790.027123140899</v>
      </c>
      <c r="E32" s="256">
        <f>[1]C4_SP2_50_F!$B$6</f>
        <v>320</v>
      </c>
      <c r="F32" s="231">
        <f>[1]C4_SP2_50_F!$G$4</f>
        <v>47.61258847168228</v>
      </c>
      <c r="G32" s="231">
        <f>[1]C4_SP2_50_F!$G$5</f>
        <v>95.225176943364559</v>
      </c>
      <c r="H32" s="230">
        <f>[1]C4_SP2_50_F!$G$6</f>
        <v>17470</v>
      </c>
      <c r="I32" s="230">
        <f>[1]C4_SP2_50_F!$G$7</f>
        <v>15190</v>
      </c>
      <c r="J32" s="230">
        <f>[1]C4_SP2_50_F!$G$8</f>
        <v>19800</v>
      </c>
      <c r="K32" s="233">
        <v>4.1229790603983796</v>
      </c>
      <c r="L32" s="234">
        <v>1.9787517883212269</v>
      </c>
      <c r="M32" s="235">
        <v>4.2422929049829312</v>
      </c>
      <c r="N32" s="235">
        <v>4.181557773862786</v>
      </c>
      <c r="O32" s="236">
        <v>4.2966651902615309</v>
      </c>
      <c r="X32" s="210" t="s">
        <v>262</v>
      </c>
      <c r="Y32" s="211">
        <v>76895.155948378393</v>
      </c>
      <c r="Z32" s="211">
        <v>6120.6508023890901</v>
      </c>
      <c r="AA32" s="212">
        <f>-$S$7</f>
        <v>3.6511357512619358</v>
      </c>
      <c r="AB32" s="211">
        <f>(10^(((5+LOG10(2))-$S$5)/$S$7))</f>
        <v>38.483171767913987</v>
      </c>
    </row>
    <row r="33" spans="2:28" x14ac:dyDescent="0.3">
      <c r="B33" s="237" t="s">
        <v>25</v>
      </c>
      <c r="C33" s="276" t="s">
        <v>265</v>
      </c>
      <c r="D33" s="239">
        <f>[1]C5_SP2_50_F!$M$93</f>
        <v>16316.469662072708</v>
      </c>
      <c r="E33" s="258">
        <f>[1]C5_SP2_50_F!$B$6</f>
        <v>510</v>
      </c>
      <c r="F33" s="240">
        <f>[1]C5_SP2_50_F!$G$4</f>
        <v>64.055673661299949</v>
      </c>
      <c r="G33" s="240">
        <f>[1]C5_SP2_50_F!$G$5</f>
        <v>128.1113473225999</v>
      </c>
      <c r="H33" s="239">
        <f>[1]C5_SP2_50_F!$G$6</f>
        <v>3030</v>
      </c>
      <c r="I33" s="239">
        <f>[1]C5_SP2_50_F!$G$7</f>
        <v>2820</v>
      </c>
      <c r="J33" s="239">
        <f>[1]C5_SP2_50_F!$G$8</f>
        <v>3480</v>
      </c>
      <c r="K33" s="242">
        <v>3.2469166761005641</v>
      </c>
      <c r="L33" s="243">
        <v>2.1075875986075547</v>
      </c>
      <c r="M33" s="244">
        <v>3.4814426285023048</v>
      </c>
      <c r="N33" s="244">
        <v>3.4502491083193609</v>
      </c>
      <c r="O33" s="245">
        <v>3.5415792439465807</v>
      </c>
      <c r="X33" s="213" t="s">
        <v>263</v>
      </c>
      <c r="Y33" s="202">
        <v>85838.150801918819</v>
      </c>
      <c r="Z33" s="202">
        <v>6579.3887678498686</v>
      </c>
      <c r="AA33" s="214">
        <f>-S16</f>
        <v>3.70559352926304</v>
      </c>
      <c r="AB33" s="202">
        <f>(10^(((5+LOG10(2))-$S$14)/$S$16))</f>
        <v>39.795703288948815</v>
      </c>
    </row>
    <row r="34" spans="2:28" ht="15" thickBot="1" x14ac:dyDescent="0.35">
      <c r="B34" s="237" t="s">
        <v>26</v>
      </c>
      <c r="C34" s="276" t="s">
        <v>265</v>
      </c>
      <c r="D34" s="239">
        <f>[1]C6_SP2_50_F!$M$93</f>
        <v>13843.63030092687</v>
      </c>
      <c r="E34" s="258">
        <f>[1]C6_SP2_50_F!$B$6</f>
        <v>340</v>
      </c>
      <c r="F34" s="240">
        <f>[1]C6_SP2_50_F!$G$4</f>
        <v>50.328079427163559</v>
      </c>
      <c r="G34" s="240">
        <f>[1]C6_SP2_50_F!$G$5</f>
        <v>100.65615885432712</v>
      </c>
      <c r="H34" s="239">
        <f>[1]C6_SP2_50_F!$G$6</f>
        <v>15910</v>
      </c>
      <c r="I34" s="239">
        <f>[1]C6_SP2_50_F!$G$7</f>
        <v>13210</v>
      </c>
      <c r="J34" s="239">
        <f>[1]C6_SP2_50_F!$G$8</f>
        <v>18440</v>
      </c>
      <c r="K34" s="242">
        <v>3.9881220499925041</v>
      </c>
      <c r="L34" s="243">
        <v>2.0028403532397472</v>
      </c>
      <c r="M34" s="244">
        <v>4.2016701796465812</v>
      </c>
      <c r="N34" s="244">
        <v>4.1209028176145273</v>
      </c>
      <c r="O34" s="245">
        <v>4.2657609167176105</v>
      </c>
      <c r="X34" s="213" t="s">
        <v>264</v>
      </c>
      <c r="Y34" s="202">
        <v>72430.570794710133</v>
      </c>
      <c r="Z34" s="202">
        <v>5322.7978742613295</v>
      </c>
      <c r="AA34" s="214">
        <f>-S24</f>
        <v>3.7663420565080976</v>
      </c>
      <c r="AB34" s="202">
        <f>(10^(((5+LOG10(2))-$S$22)/$S$24))</f>
        <v>38.181375428816445</v>
      </c>
    </row>
    <row r="35" spans="2:28" ht="16.2" thickBot="1" x14ac:dyDescent="0.35">
      <c r="B35" s="237" t="s">
        <v>27</v>
      </c>
      <c r="C35" s="276" t="s">
        <v>265</v>
      </c>
      <c r="D35" s="239">
        <f>[1]C7_SP2_50_F!$M$93</f>
        <v>15211.939974278108</v>
      </c>
      <c r="E35" s="258">
        <f>[1]C7_SP2_50_F!$B$6</f>
        <v>520</v>
      </c>
      <c r="F35" s="240">
        <f>[1]C7_SP2_50_F!$G$4</f>
        <v>70.074083225058146</v>
      </c>
      <c r="G35" s="240">
        <f>[1]C7_SP2_50_F!$G$5</f>
        <v>140.14816645011629</v>
      </c>
      <c r="H35" s="239">
        <f>[1]C7_SP2_50_F!$G$6</f>
        <v>2320</v>
      </c>
      <c r="I35" s="239">
        <f>[1]C7_SP2_50_F!$G$7</f>
        <v>1940</v>
      </c>
      <c r="J35" s="239">
        <f>[1]C7_SP2_50_F!$G$8</f>
        <v>2860</v>
      </c>
      <c r="K35" s="242">
        <v>3.856049982471943</v>
      </c>
      <c r="L35" s="243">
        <v>2.1465874202853472</v>
      </c>
      <c r="M35" s="244">
        <v>3.3654879848908998</v>
      </c>
      <c r="N35" s="244">
        <v>3.287801729930226</v>
      </c>
      <c r="O35" s="245">
        <v>3.4563660331290431</v>
      </c>
      <c r="Q35" s="40" t="s">
        <v>270</v>
      </c>
      <c r="R35" s="41" t="s">
        <v>3</v>
      </c>
      <c r="S35" s="16" t="s">
        <v>4</v>
      </c>
      <c r="T35" s="17" t="s">
        <v>5</v>
      </c>
      <c r="X35" s="215" t="s">
        <v>265</v>
      </c>
      <c r="Y35" s="200">
        <v>79787.174217540974</v>
      </c>
      <c r="Z35" s="200">
        <v>8568.5103155248871</v>
      </c>
      <c r="AA35" s="216">
        <f>-S38</f>
        <v>3.406172580389017</v>
      </c>
      <c r="AB35" s="200">
        <f>(10^(((5+LOG10(2))-$S$36)/$S$38))</f>
        <v>40.061745973381676</v>
      </c>
    </row>
    <row r="36" spans="2:28" ht="15.6" x14ac:dyDescent="0.3">
      <c r="B36" s="237" t="s">
        <v>28</v>
      </c>
      <c r="C36" s="276" t="s">
        <v>265</v>
      </c>
      <c r="D36" s="239">
        <f>[1]C8_SP2_50_F!$M$93</f>
        <v>16903.556782039264</v>
      </c>
      <c r="E36" s="258">
        <f>[1]C8_SP2_50_F!$B$6</f>
        <v>300</v>
      </c>
      <c r="F36" s="240">
        <f>[1]C8_SP2_50_F!$G$4</f>
        <v>36.384212624069342</v>
      </c>
      <c r="G36" s="240">
        <f>[1]C8_SP2_50_F!$G$5</f>
        <v>72.768425248138684</v>
      </c>
      <c r="H36" s="239">
        <f>[1]C8_SP2_50_F!$G$6</f>
        <v>27980</v>
      </c>
      <c r="I36" s="239">
        <f>[1]C8_SP2_50_F!$G$7</f>
        <v>22890</v>
      </c>
      <c r="J36" s="239">
        <f>[1]C8_SP2_50_F!$G$8</f>
        <v>35290</v>
      </c>
      <c r="K36" s="242">
        <v>4.292078913300557</v>
      </c>
      <c r="L36" s="243">
        <v>1.8619429766330946</v>
      </c>
      <c r="M36" s="244">
        <v>4.4468477101558088</v>
      </c>
      <c r="N36" s="244">
        <v>4.3596457926745433</v>
      </c>
      <c r="O36" s="245">
        <v>4.5476516583599693</v>
      </c>
      <c r="Q36" s="18" t="s">
        <v>13</v>
      </c>
      <c r="R36" s="6">
        <f>INTERCEPT(M32:M43,$L32:$L43)</f>
        <v>10.601288814566647</v>
      </c>
      <c r="S36" s="7">
        <f>INTERCEPT(N32:N43,$L32:$L43)</f>
        <v>10.760204542226369</v>
      </c>
      <c r="T36" s="8">
        <f>INTERCEPT(O32:O43,$L32:$L43)</f>
        <v>10.956389122963593</v>
      </c>
      <c r="X36" s="197" t="s">
        <v>266</v>
      </c>
      <c r="Y36" s="203">
        <v>77757.430755921581</v>
      </c>
      <c r="Z36" s="203">
        <f>S47*100^S48</f>
        <v>5453.283807763376</v>
      </c>
      <c r="AA36" s="217">
        <f>-S48</f>
        <v>3.8337834051493038</v>
      </c>
      <c r="AB36" s="203">
        <f>(10^(((5+LOG10(2))-$S$46)/$S$48))</f>
        <v>39.079670465015653</v>
      </c>
    </row>
    <row r="37" spans="2:28" x14ac:dyDescent="0.3">
      <c r="B37" s="237" t="s">
        <v>29</v>
      </c>
      <c r="C37" s="276" t="s">
        <v>265</v>
      </c>
      <c r="D37" s="239">
        <f>[1]C9_SP2_50_F!$M$93</f>
        <v>14890.080403300111</v>
      </c>
      <c r="E37" s="258">
        <f>[1]C9_SP2_50_F!$B$6</f>
        <v>350</v>
      </c>
      <c r="F37" s="240">
        <f>[1]C9_SP2_50_F!$G$4</f>
        <v>48.167071501606749</v>
      </c>
      <c r="G37" s="240">
        <f>[1]C9_SP2_50_F!$G$5</f>
        <v>96.334143003213498</v>
      </c>
      <c r="H37" s="239">
        <f>[1]C9_SP2_50_F!$G$6</f>
        <v>13210</v>
      </c>
      <c r="I37" s="239">
        <f>[1]C9_SP2_50_F!$G$7</f>
        <v>12200</v>
      </c>
      <c r="J37" s="239">
        <f>[1]C9_SP2_50_F!$G$8</f>
        <v>15590</v>
      </c>
      <c r="K37" s="242">
        <v>3.93</v>
      </c>
      <c r="L37" s="243">
        <v>1.9837802382135297</v>
      </c>
      <c r="M37" s="244">
        <v>4.1209028176145273</v>
      </c>
      <c r="N37" s="244">
        <v>4.0863598306747484</v>
      </c>
      <c r="O37" s="245">
        <v>4.1928461151888419</v>
      </c>
      <c r="Q37" s="19" t="s">
        <v>14</v>
      </c>
      <c r="R37" s="20">
        <f>10^R36</f>
        <v>39929035020.32132</v>
      </c>
      <c r="S37" s="21">
        <f>10^S36</f>
        <v>57571101950.036507</v>
      </c>
      <c r="T37" s="22">
        <f>10^T36</f>
        <v>90445949630.279007</v>
      </c>
    </row>
    <row r="38" spans="2:28" ht="15.6" x14ac:dyDescent="0.3">
      <c r="B38" s="237" t="s">
        <v>30</v>
      </c>
      <c r="C38" s="276" t="s">
        <v>265</v>
      </c>
      <c r="D38" s="239">
        <f>[1]C10_SP2_50_F!$M$93</f>
        <v>11924.799269080273</v>
      </c>
      <c r="E38" s="258">
        <f>[1]C10_SP2_50_F!$B$6</f>
        <v>530</v>
      </c>
      <c r="F38" s="240">
        <f>[1]C10_SP2_50_F!$G$4</f>
        <v>91.04352785795345</v>
      </c>
      <c r="G38" s="240">
        <f>[1]C10_SP2_50_F!$G$5</f>
        <v>182.0870557159069</v>
      </c>
      <c r="H38" s="239">
        <f>[1]C10_SP2_50_F!$G$6</f>
        <v>2480</v>
      </c>
      <c r="I38" s="239">
        <f>[1]C10_SP2_50_F!$G$7</f>
        <v>2050</v>
      </c>
      <c r="J38" s="239">
        <f>[1]C10_SP2_50_F!$G$8</f>
        <v>3100</v>
      </c>
      <c r="K38" s="242">
        <v>3.61</v>
      </c>
      <c r="L38" s="243">
        <v>2.2602790735765477</v>
      </c>
      <c r="M38" s="244">
        <v>3.3944516808262164</v>
      </c>
      <c r="N38" s="244">
        <v>3.3117538610557542</v>
      </c>
      <c r="O38" s="245">
        <v>3.4913616938342726</v>
      </c>
      <c r="Q38" s="19" t="s">
        <v>15</v>
      </c>
      <c r="R38" s="13">
        <f>SLOPE(M32:M43,$L32:$L43)</f>
        <v>-3.2970198048940769</v>
      </c>
      <c r="S38" s="14">
        <f>SLOPE(N32:N43,$L32:$L43)</f>
        <v>-3.406172580389017</v>
      </c>
      <c r="T38" s="15">
        <f>SLOPE(O32:O43,$L32:$L43)</f>
        <v>-3.4270934222363714</v>
      </c>
    </row>
    <row r="39" spans="2:28" ht="16.2" thickBot="1" x14ac:dyDescent="0.35">
      <c r="B39" s="237" t="s">
        <v>31</v>
      </c>
      <c r="C39" s="276" t="s">
        <v>265</v>
      </c>
      <c r="D39" s="239">
        <f>[1]C11_SP2_50_F!$M$93</f>
        <v>16277.773357838492</v>
      </c>
      <c r="E39" s="258">
        <f>[1]C11_SP2_50_F!$B$6</f>
        <v>330</v>
      </c>
      <c r="F39" s="240">
        <f>[1]C11_SP2_50_F!$G$4</f>
        <v>41.560019161452971</v>
      </c>
      <c r="G39" s="240">
        <f>[1]C11_SP2_50_F!$G$5</f>
        <v>83.120038322905941</v>
      </c>
      <c r="H39" s="239">
        <f>[1]C11_SP2_50_F!$G$6</f>
        <v>13030</v>
      </c>
      <c r="I39" s="239">
        <f>[1]C11_SP2_50_F!$G$7</f>
        <v>10210</v>
      </c>
      <c r="J39" s="239">
        <f>[1]C11_SP2_50_F!$G$8</f>
        <v>16190</v>
      </c>
      <c r="K39" s="242">
        <v>3.98</v>
      </c>
      <c r="L39" s="243">
        <v>1.9197057347827922</v>
      </c>
      <c r="M39" s="244">
        <v>4.1149444157125847</v>
      </c>
      <c r="N39" s="244">
        <v>4.0090257420869104</v>
      </c>
      <c r="O39" s="245">
        <v>4.2092468487533736</v>
      </c>
      <c r="Q39" s="30" t="s">
        <v>59</v>
      </c>
      <c r="R39" s="31">
        <f>10^((6-R36)/R38)</f>
        <v>24.865104377909148</v>
      </c>
      <c r="S39" s="31">
        <f t="shared" ref="S39" si="13">10^((6-S36)/S38)</f>
        <v>24.976006895818323</v>
      </c>
      <c r="T39" s="167">
        <f>10^((6-T36)/T38)</f>
        <v>27.94067833128431</v>
      </c>
    </row>
    <row r="40" spans="2:28" ht="15.6" x14ac:dyDescent="0.3">
      <c r="B40" s="237" t="s">
        <v>32</v>
      </c>
      <c r="C40" s="276" t="s">
        <v>265</v>
      </c>
      <c r="D40" s="239">
        <f>[1]C14_SP2_50_F!$M$93</f>
        <v>15778.190570436547</v>
      </c>
      <c r="E40" s="258">
        <f>[1]C14_SP2_50_F!$B$6</f>
        <v>520</v>
      </c>
      <c r="F40" s="240">
        <f>[1]C14_SP2_50_F!$G$4</f>
        <v>67.607874623157457</v>
      </c>
      <c r="G40" s="240">
        <f>[1]C14_SP2_50_F!$G$5</f>
        <v>135.21574924631491</v>
      </c>
      <c r="H40" s="239">
        <f>[1]C14_SP2_50_F!$G$6</f>
        <v>2400</v>
      </c>
      <c r="I40" s="239">
        <f>[1]C14_SP2_50_F!$G$7</f>
        <v>2060</v>
      </c>
      <c r="J40" s="239">
        <f>[1]C14_SP2_50_F!$G$8</f>
        <v>3120</v>
      </c>
      <c r="K40" s="242">
        <v>4.0599999999999996</v>
      </c>
      <c r="L40" s="243">
        <v>2.1310272789755871</v>
      </c>
      <c r="M40" s="244">
        <v>3.3802112417116059</v>
      </c>
      <c r="N40" s="244">
        <v>3.3138672203691533</v>
      </c>
      <c r="O40" s="245">
        <v>3.4941545940184429</v>
      </c>
      <c r="Q40" s="141" t="s">
        <v>184</v>
      </c>
      <c r="R40" s="142">
        <f>R37*50^R38</f>
        <v>99942.69641254122</v>
      </c>
      <c r="S40" s="5">
        <f>S37*50^S38</f>
        <v>94019.838001681856</v>
      </c>
      <c r="T40" s="137">
        <f>T37*50^T38</f>
        <v>136100.64911666451</v>
      </c>
    </row>
    <row r="41" spans="2:28" ht="16.2" thickBot="1" x14ac:dyDescent="0.35">
      <c r="B41" s="237" t="s">
        <v>33</v>
      </c>
      <c r="C41" s="276" t="s">
        <v>265</v>
      </c>
      <c r="D41" s="239">
        <f>[1]C15_SP2_50_F!$M$93</f>
        <v>16775.653032052014</v>
      </c>
      <c r="E41" s="258">
        <f>[1]C15_SP2_50_F!$B$6</f>
        <v>240</v>
      </c>
      <c r="F41" s="240">
        <f>[1]C15_SP2_50_F!$G$4</f>
        <v>29.334075055109462</v>
      </c>
      <c r="G41" s="240">
        <f>[1]C15_SP2_50_F!$G$5</f>
        <v>58.668150110218924</v>
      </c>
      <c r="H41" s="239">
        <f>[1]C15_SP2_50_F!$G$6</f>
        <v>55270</v>
      </c>
      <c r="I41" s="239">
        <f>[1]C15_SP2_50_F!$G$7</f>
        <v>48970</v>
      </c>
      <c r="J41" s="239">
        <f>[1]C15_SP2_50_F!$G$8</f>
        <v>70640</v>
      </c>
      <c r="K41" s="242">
        <v>3.94</v>
      </c>
      <c r="L41" s="243">
        <v>1.7684023945127345</v>
      </c>
      <c r="M41" s="244">
        <v>4.7424894645817748</v>
      </c>
      <c r="N41" s="244">
        <v>4.6899301040182184</v>
      </c>
      <c r="O41" s="245">
        <v>4.8490506905695119</v>
      </c>
      <c r="Q41" s="77" t="s">
        <v>185</v>
      </c>
      <c r="R41" s="143">
        <f>R37*100^R38</f>
        <v>10168.319991648445</v>
      </c>
      <c r="S41" s="26">
        <f>S37*100^S38</f>
        <v>8868.6880967958205</v>
      </c>
      <c r="T41" s="27">
        <f>T37*100^T38</f>
        <v>12653.255526245464</v>
      </c>
    </row>
    <row r="42" spans="2:28" x14ac:dyDescent="0.3">
      <c r="B42" s="257" t="s">
        <v>275</v>
      </c>
      <c r="C42" s="276" t="s">
        <v>265</v>
      </c>
      <c r="D42" s="239">
        <f>[1]C25_SP2_50_F!$M$93</f>
        <v>20561.601563955282</v>
      </c>
      <c r="E42" s="258">
        <f>[1]C25_SP2_50_F!$B$6</f>
        <v>270</v>
      </c>
      <c r="F42" s="240">
        <f>[1]C25_SP2_50_F!$G$4</f>
        <v>26.920152570443477</v>
      </c>
      <c r="G42" s="240">
        <f>[1]C25_SP2_50_F!$G$5</f>
        <v>53.840305140886954</v>
      </c>
      <c r="H42" s="239">
        <f>[1]C25_SP2_50_F!$G$6</f>
        <v>86070</v>
      </c>
      <c r="I42" s="239">
        <f>[1]C25_SP2_50_F!$G$7</f>
        <v>79600</v>
      </c>
      <c r="J42" s="239">
        <f>[1]C25_SP2_50_F!$G$8</f>
        <v>118340</v>
      </c>
      <c r="K42" s="242">
        <v>3.8834779296093358</v>
      </c>
      <c r="L42" s="243">
        <v>1.7311075125945956</v>
      </c>
      <c r="M42" s="244">
        <v>4.9348518029656612</v>
      </c>
      <c r="N42" s="244">
        <v>4.9009130677376689</v>
      </c>
      <c r="O42" s="245">
        <v>5.0731315649409927</v>
      </c>
    </row>
    <row r="43" spans="2:28" ht="15" thickBot="1" x14ac:dyDescent="0.35">
      <c r="B43" s="259" t="s">
        <v>276</v>
      </c>
      <c r="C43" s="280" t="s">
        <v>265</v>
      </c>
      <c r="D43" s="260">
        <f>[1]C27_SP2_50_F!$M$93</f>
        <v>22050.88293244013</v>
      </c>
      <c r="E43" s="262">
        <f>[1]C27_SP2_50_F!$B$6</f>
        <v>270</v>
      </c>
      <c r="F43" s="261">
        <f>[1]C27_SP2_50_F!$G$4</f>
        <v>25.098989997155027</v>
      </c>
      <c r="G43" s="261">
        <f>[1]C27_SP2_50_F!$G$5</f>
        <v>50.197979994310053</v>
      </c>
      <c r="H43" s="260">
        <f>[1]C27_SP2_50_F!$G$6</f>
        <v>100990</v>
      </c>
      <c r="I43" s="260">
        <f>[1]C27_SP2_50_F!$G$7</f>
        <v>112110</v>
      </c>
      <c r="J43" s="260">
        <f>[1]C27_SP2_50_F!$G$8</f>
        <v>160130</v>
      </c>
      <c r="K43" s="263">
        <v>3.6522269282795006</v>
      </c>
      <c r="L43" s="264">
        <v>1.7006862411494919</v>
      </c>
      <c r="M43" s="265">
        <v>5.0042783722001625</v>
      </c>
      <c r="N43" s="265">
        <v>5.0496443525692998</v>
      </c>
      <c r="O43" s="266">
        <v>5.204472703648964</v>
      </c>
    </row>
    <row r="44" spans="2:28" ht="15" thickBot="1" x14ac:dyDescent="0.35">
      <c r="B44" s="281" t="s">
        <v>34</v>
      </c>
      <c r="C44" s="268" t="s">
        <v>266</v>
      </c>
      <c r="D44" s="269">
        <v>17539.238143302737</v>
      </c>
      <c r="E44" s="270">
        <v>250</v>
      </c>
      <c r="F44" s="271">
        <v>29.216022230115321</v>
      </c>
      <c r="G44" s="271">
        <v>58.432044460230642</v>
      </c>
      <c r="H44" s="269">
        <v>83320</v>
      </c>
      <c r="I44" s="269">
        <v>78360</v>
      </c>
      <c r="J44" s="269">
        <v>103150</v>
      </c>
      <c r="K44" s="272">
        <v>3.44</v>
      </c>
      <c r="L44" s="273">
        <v>1.7666510819676913</v>
      </c>
      <c r="M44" s="274">
        <v>4.9207492612757084</v>
      </c>
      <c r="N44" s="274">
        <v>4.8940944273226989</v>
      </c>
      <c r="O44" s="275">
        <v>5.0134692323091707</v>
      </c>
    </row>
    <row r="45" spans="2:28" ht="16.2" thickBot="1" x14ac:dyDescent="0.35">
      <c r="B45" s="257" t="s">
        <v>35</v>
      </c>
      <c r="C45" s="276" t="s">
        <v>266</v>
      </c>
      <c r="D45" s="239">
        <v>16526.53381632427</v>
      </c>
      <c r="E45" s="258">
        <v>530</v>
      </c>
      <c r="F45" s="240">
        <v>65.748984940001577</v>
      </c>
      <c r="G45" s="240">
        <v>131.49796988000315</v>
      </c>
      <c r="H45" s="239">
        <v>1880</v>
      </c>
      <c r="I45" s="239">
        <v>1710</v>
      </c>
      <c r="J45" s="239">
        <v>2410</v>
      </c>
      <c r="K45" s="242">
        <v>3.95</v>
      </c>
      <c r="L45" s="243">
        <v>2.1189190480598605</v>
      </c>
      <c r="M45" s="244">
        <v>3.27415784926368</v>
      </c>
      <c r="N45" s="244">
        <v>3.2329961103921536</v>
      </c>
      <c r="O45" s="245">
        <v>3.3820170425748683</v>
      </c>
      <c r="Q45" s="40" t="s">
        <v>271</v>
      </c>
      <c r="R45" s="41" t="s">
        <v>3</v>
      </c>
      <c r="S45" s="16" t="s">
        <v>4</v>
      </c>
      <c r="T45" s="17" t="s">
        <v>5</v>
      </c>
    </row>
    <row r="46" spans="2:28" ht="15.6" x14ac:dyDescent="0.3">
      <c r="B46" s="257" t="s">
        <v>36</v>
      </c>
      <c r="C46" s="276" t="s">
        <v>266</v>
      </c>
      <c r="D46" s="239">
        <v>17730.496336457509</v>
      </c>
      <c r="E46" s="258">
        <v>360</v>
      </c>
      <c r="F46" s="240">
        <v>41.627854354668059</v>
      </c>
      <c r="G46" s="240">
        <v>83.255708709336119</v>
      </c>
      <c r="H46" s="239">
        <v>11170</v>
      </c>
      <c r="I46" s="239">
        <v>9090</v>
      </c>
      <c r="J46" s="239">
        <v>14370</v>
      </c>
      <c r="K46" s="242">
        <v>4.34</v>
      </c>
      <c r="L46" s="243">
        <v>1.9204140220697936</v>
      </c>
      <c r="M46" s="244">
        <v>4.0480531731156093</v>
      </c>
      <c r="N46" s="244">
        <v>3.9585638832219674</v>
      </c>
      <c r="O46" s="245">
        <v>4.1574567681342254</v>
      </c>
      <c r="Q46" s="18" t="s">
        <v>13</v>
      </c>
      <c r="R46" s="6">
        <f>INTERCEPT(M44:M51,$L44:$L51)</f>
        <v>11.303176999936225</v>
      </c>
      <c r="S46" s="7">
        <f>INTERCEPT(N44:N51,$L44:$L51)</f>
        <v>11.404224910761545</v>
      </c>
      <c r="T46" s="8">
        <f>INTERCEPT(O44:O51,$L44:$L51)</f>
        <v>11.565394076267243</v>
      </c>
    </row>
    <row r="47" spans="2:28" x14ac:dyDescent="0.3">
      <c r="B47" s="257" t="s">
        <v>37</v>
      </c>
      <c r="C47" s="276" t="s">
        <v>266</v>
      </c>
      <c r="D47" s="239">
        <v>20119.75500600701</v>
      </c>
      <c r="E47" s="258">
        <v>330</v>
      </c>
      <c r="F47" s="240">
        <v>33.625730258305651</v>
      </c>
      <c r="G47" s="240">
        <v>67.251460516611303</v>
      </c>
      <c r="H47" s="239">
        <v>24640</v>
      </c>
      <c r="I47" s="239">
        <v>23800</v>
      </c>
      <c r="J47" s="239">
        <v>35090</v>
      </c>
      <c r="K47" s="242">
        <v>3.71</v>
      </c>
      <c r="L47" s="243">
        <v>1.827701720457604</v>
      </c>
      <c r="M47" s="244">
        <v>4.3916407034923877</v>
      </c>
      <c r="N47" s="244">
        <v>4.3765769570565123</v>
      </c>
      <c r="O47" s="245">
        <v>4.5451833682154064</v>
      </c>
      <c r="Q47" s="19" t="s">
        <v>14</v>
      </c>
      <c r="R47" s="20">
        <f>10^R46</f>
        <v>200991180016.20465</v>
      </c>
      <c r="S47" s="21">
        <f>10^S46</f>
        <v>253644185320.94107</v>
      </c>
      <c r="T47" s="22">
        <f>10^T46</f>
        <v>367615721553.99469</v>
      </c>
    </row>
    <row r="48" spans="2:28" ht="15.6" x14ac:dyDescent="0.3">
      <c r="B48" s="257" t="s">
        <v>38</v>
      </c>
      <c r="C48" s="276" t="s">
        <v>266</v>
      </c>
      <c r="D48" s="239">
        <v>15414.838237479569</v>
      </c>
      <c r="E48" s="258">
        <v>540</v>
      </c>
      <c r="F48" s="240">
        <v>71.800681312073365</v>
      </c>
      <c r="G48" s="240">
        <v>143.60136262414673</v>
      </c>
      <c r="H48" s="239">
        <v>1510</v>
      </c>
      <c r="I48" s="239">
        <v>1370</v>
      </c>
      <c r="J48" s="239">
        <v>1980</v>
      </c>
      <c r="K48" s="242">
        <v>4</v>
      </c>
      <c r="L48" s="243">
        <v>2.1571585609183996</v>
      </c>
      <c r="M48" s="244">
        <v>3.1789769472931693</v>
      </c>
      <c r="N48" s="244">
        <v>3.1367205671564067</v>
      </c>
      <c r="O48" s="245">
        <v>3.2966651902615309</v>
      </c>
      <c r="Q48" s="19" t="s">
        <v>15</v>
      </c>
      <c r="R48" s="13">
        <f>SLOPE(M44:M51,$L44:$L51)</f>
        <v>-3.7642891585465721</v>
      </c>
      <c r="S48" s="14">
        <f>SLOPE(N44:N51,$L44:$L51)</f>
        <v>-3.8337834051493038</v>
      </c>
      <c r="T48" s="15">
        <f>SLOPE(O44:O51,$L44:$L51)</f>
        <v>-3.833940997497792</v>
      </c>
    </row>
    <row r="49" spans="2:20" ht="16.2" thickBot="1" x14ac:dyDescent="0.35">
      <c r="B49" s="257" t="s">
        <v>39</v>
      </c>
      <c r="C49" s="276" t="s">
        <v>266</v>
      </c>
      <c r="D49" s="239">
        <v>15718.32366330329</v>
      </c>
      <c r="E49" s="258">
        <v>540</v>
      </c>
      <c r="F49" s="240">
        <v>70.403599229200395</v>
      </c>
      <c r="G49" s="240">
        <v>140.80719845840079</v>
      </c>
      <c r="H49" s="239">
        <v>2230</v>
      </c>
      <c r="I49" s="239">
        <v>2000</v>
      </c>
      <c r="J49" s="239">
        <v>2840</v>
      </c>
      <c r="K49" s="242">
        <v>3.99</v>
      </c>
      <c r="L49" s="243">
        <v>2.1486248577240548</v>
      </c>
      <c r="M49" s="244">
        <v>3.3483048630481607</v>
      </c>
      <c r="N49" s="244">
        <v>3.3010299956639813</v>
      </c>
      <c r="O49" s="245">
        <v>3.4533183400470375</v>
      </c>
      <c r="Q49" s="30" t="s">
        <v>59</v>
      </c>
      <c r="R49" s="31">
        <f>10^((6-R46)/R48)</f>
        <v>25.633761261956717</v>
      </c>
      <c r="S49" s="31">
        <f t="shared" ref="S49:T49" si="14">10^((6-S46)/S48)</f>
        <v>25.682204382387575</v>
      </c>
      <c r="T49" s="167">
        <f t="shared" si="14"/>
        <v>28.288623909044226</v>
      </c>
    </row>
    <row r="50" spans="2:20" ht="15.6" x14ac:dyDescent="0.3">
      <c r="B50" s="257" t="s">
        <v>40</v>
      </c>
      <c r="C50" s="276" t="s">
        <v>266</v>
      </c>
      <c r="D50" s="239">
        <v>18978.508524607321</v>
      </c>
      <c r="E50" s="258">
        <v>340</v>
      </c>
      <c r="F50" s="240">
        <v>36.715060879603541</v>
      </c>
      <c r="G50" s="240">
        <v>73.430121759207083</v>
      </c>
      <c r="H50" s="239">
        <v>16440</v>
      </c>
      <c r="I50" s="239">
        <v>15810</v>
      </c>
      <c r="J50" s="239">
        <v>23040</v>
      </c>
      <c r="K50" s="242">
        <v>3.93</v>
      </c>
      <c r="L50" s="243">
        <v>1.865874248340021</v>
      </c>
      <c r="M50" s="244">
        <v>4.2159018132040318</v>
      </c>
      <c r="N50" s="244">
        <v>4.1989318699322089</v>
      </c>
      <c r="O50" s="245">
        <v>4.3624824747511743</v>
      </c>
      <c r="Q50" s="64" t="s">
        <v>184</v>
      </c>
      <c r="R50" s="5">
        <f>R47*50^R48</f>
        <v>80865.380038453193</v>
      </c>
      <c r="S50" s="5">
        <f>S47*50^S48</f>
        <v>77757.430755921581</v>
      </c>
      <c r="T50" s="137">
        <f>T47*50^T48</f>
        <v>112627.20927800017</v>
      </c>
    </row>
    <row r="51" spans="2:20" ht="16.2" thickBot="1" x14ac:dyDescent="0.35">
      <c r="B51" s="259" t="s">
        <v>41</v>
      </c>
      <c r="C51" s="280" t="s">
        <v>266</v>
      </c>
      <c r="D51" s="260">
        <v>20292.874766676392</v>
      </c>
      <c r="E51" s="262">
        <v>350</v>
      </c>
      <c r="F51" s="261">
        <v>35.349601240783841</v>
      </c>
      <c r="G51" s="261">
        <v>70.699202481567681</v>
      </c>
      <c r="H51" s="260">
        <v>13140</v>
      </c>
      <c r="I51" s="260">
        <v>13120</v>
      </c>
      <c r="J51" s="260">
        <v>19640</v>
      </c>
      <c r="K51" s="263">
        <v>4.93</v>
      </c>
      <c r="L51" s="264">
        <v>1.8494145147897156</v>
      </c>
      <c r="M51" s="265">
        <v>4.1185953652237624</v>
      </c>
      <c r="N51" s="265">
        <v>4.1179338350396417</v>
      </c>
      <c r="O51" s="266">
        <v>4.2931414834509312</v>
      </c>
      <c r="Q51" s="181" t="s">
        <v>185</v>
      </c>
      <c r="R51" s="26">
        <f>R47*100^R48</f>
        <v>5951.1196609628423</v>
      </c>
      <c r="S51" s="26">
        <f t="shared" ref="S51:T51" si="15">S47*100^S48</f>
        <v>5453.283807763376</v>
      </c>
      <c r="T51" s="27">
        <f t="shared" si="15"/>
        <v>7897.9081961854672</v>
      </c>
    </row>
    <row r="53" spans="2:20" x14ac:dyDescent="0.3">
      <c r="B53" s="51"/>
      <c r="D53" s="54"/>
      <c r="E53" s="55"/>
      <c r="F53" s="56"/>
      <c r="G53" s="56"/>
      <c r="H53" s="54"/>
      <c r="I53" s="54"/>
      <c r="J53" s="54"/>
      <c r="K53" s="55"/>
      <c r="L53" s="58"/>
      <c r="M53" s="58"/>
      <c r="N53" s="58"/>
      <c r="O53" s="58"/>
    </row>
    <row r="54" spans="2:20" x14ac:dyDescent="0.3">
      <c r="B54" s="51"/>
      <c r="D54" s="54"/>
      <c r="E54" s="55"/>
      <c r="F54" s="56"/>
      <c r="G54" s="56"/>
      <c r="H54" s="54"/>
      <c r="I54" s="54"/>
      <c r="J54" s="54"/>
      <c r="K54" s="57"/>
      <c r="L54" s="58"/>
      <c r="M54" s="58"/>
      <c r="N54" s="58"/>
      <c r="O54" s="58"/>
    </row>
    <row r="55" spans="2:20" x14ac:dyDescent="0.3">
      <c r="B55" s="51"/>
      <c r="D55" s="54"/>
      <c r="E55" s="55"/>
      <c r="F55" s="56"/>
      <c r="G55" s="56"/>
      <c r="H55" s="54"/>
      <c r="I55" s="54"/>
      <c r="J55" s="54"/>
      <c r="K55" s="57"/>
      <c r="L55" s="58"/>
      <c r="M55" s="58"/>
      <c r="N55" s="58"/>
      <c r="O55" s="58"/>
    </row>
    <row r="56" spans="2:20" x14ac:dyDescent="0.3">
      <c r="B56" s="51"/>
      <c r="D56" s="54"/>
      <c r="E56" s="55"/>
      <c r="F56" s="56"/>
      <c r="G56" s="56"/>
      <c r="H56" s="54"/>
      <c r="I56" s="54"/>
      <c r="J56" s="54"/>
      <c r="K56" s="57"/>
      <c r="L56" s="58"/>
      <c r="M56" s="58"/>
      <c r="N56" s="58"/>
      <c r="O56" s="58"/>
    </row>
    <row r="57" spans="2:20" x14ac:dyDescent="0.3">
      <c r="B57" s="51"/>
      <c r="D57" s="54"/>
      <c r="E57" s="55"/>
      <c r="F57" s="56"/>
      <c r="G57" s="56"/>
      <c r="H57" s="54"/>
      <c r="I57" s="54"/>
      <c r="J57" s="54"/>
      <c r="K57" s="55"/>
      <c r="L57" s="58"/>
      <c r="M57" s="58"/>
      <c r="N57" s="58"/>
      <c r="O57" s="58"/>
    </row>
    <row r="58" spans="2:20" x14ac:dyDescent="0.3">
      <c r="B58" s="171"/>
      <c r="D58" s="54"/>
      <c r="E58" s="55"/>
      <c r="F58" s="56"/>
      <c r="G58" s="56"/>
      <c r="H58" s="54"/>
      <c r="I58" s="54"/>
      <c r="J58" s="54"/>
      <c r="K58" s="57"/>
      <c r="L58" s="58"/>
      <c r="M58" s="58"/>
      <c r="N58" s="58"/>
      <c r="O58" s="58"/>
    </row>
    <row r="59" spans="2:20" x14ac:dyDescent="0.3">
      <c r="B59" s="51"/>
      <c r="D59" s="54"/>
      <c r="E59" s="55"/>
      <c r="F59" s="56"/>
      <c r="G59" s="56"/>
      <c r="H59" s="54"/>
      <c r="I59" s="54"/>
      <c r="J59" s="54"/>
      <c r="K59" s="57"/>
      <c r="L59" s="58"/>
      <c r="M59" s="58"/>
      <c r="N59" s="58"/>
      <c r="O59" s="58"/>
    </row>
    <row r="60" spans="2:20" x14ac:dyDescent="0.3">
      <c r="B60" s="171"/>
      <c r="D60" s="54"/>
      <c r="E60" s="55"/>
      <c r="F60" s="56"/>
      <c r="G60" s="56"/>
      <c r="H60" s="55"/>
      <c r="I60" s="55"/>
      <c r="J60" s="55"/>
      <c r="K60" s="55"/>
      <c r="L60" s="58"/>
      <c r="M60" s="58"/>
      <c r="N60" s="58"/>
      <c r="O60" s="58"/>
    </row>
    <row r="91" spans="16:17" x14ac:dyDescent="0.3">
      <c r="P91">
        <v>100</v>
      </c>
      <c r="Q91">
        <v>180</v>
      </c>
    </row>
    <row r="92" spans="16:17" x14ac:dyDescent="0.3">
      <c r="P92">
        <v>1000000</v>
      </c>
      <c r="Q92">
        <v>50</v>
      </c>
    </row>
  </sheetData>
  <mergeCells count="5">
    <mergeCell ref="X30:X31"/>
    <mergeCell ref="B2:B3"/>
    <mergeCell ref="C2:C3"/>
    <mergeCell ref="X20:X21"/>
    <mergeCell ref="Y20:AA20"/>
  </mergeCells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DC826-5FFB-4A36-AB84-6A8220F15B4B}">
  <dimension ref="C1:AG66"/>
  <sheetViews>
    <sheetView showGridLines="0" topLeftCell="T22" zoomScaleNormal="100" workbookViewId="0">
      <selection activeCell="AD19" sqref="AD19"/>
    </sheetView>
  </sheetViews>
  <sheetFormatPr defaultRowHeight="14.4" x14ac:dyDescent="0.3"/>
  <cols>
    <col min="11" max="11" width="11.6640625" bestFit="1" customWidth="1"/>
    <col min="12" max="12" width="8" bestFit="1" customWidth="1"/>
    <col min="13" max="13" width="11.77734375" bestFit="1" customWidth="1"/>
    <col min="15" max="15" width="13.88671875" bestFit="1" customWidth="1"/>
    <col min="17" max="17" width="11.5546875" bestFit="1" customWidth="1"/>
    <col min="20" max="20" width="11" bestFit="1" customWidth="1"/>
    <col min="23" max="23" width="11.5546875" bestFit="1" customWidth="1"/>
    <col min="27" max="27" width="11.5546875" bestFit="1" customWidth="1"/>
    <col min="32" max="32" width="11.5546875" bestFit="1" customWidth="1"/>
    <col min="33" max="33" width="7.44140625" bestFit="1" customWidth="1"/>
  </cols>
  <sheetData>
    <row r="1" spans="3:33" ht="15.6" x14ac:dyDescent="0.3">
      <c r="C1" s="125"/>
      <c r="E1" s="51"/>
      <c r="F1" s="51"/>
      <c r="G1" s="52"/>
      <c r="H1" s="51"/>
      <c r="I1" s="192"/>
      <c r="J1" s="192"/>
      <c r="K1" s="51"/>
      <c r="L1" s="51"/>
      <c r="M1" s="192"/>
      <c r="N1" s="192"/>
      <c r="O1" s="51"/>
    </row>
    <row r="2" spans="3:33" x14ac:dyDescent="0.3">
      <c r="C2" s="125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3:33" ht="15" thickBot="1" x14ac:dyDescent="0.35"/>
    <row r="4" spans="3:33" ht="18.600000000000001" thickBot="1" x14ac:dyDescent="0.35">
      <c r="C4" s="319" t="s">
        <v>0</v>
      </c>
      <c r="D4" s="314" t="s">
        <v>16</v>
      </c>
      <c r="E4" s="219" t="s">
        <v>286</v>
      </c>
      <c r="F4" s="219" t="s">
        <v>287</v>
      </c>
      <c r="G4" s="220" t="s">
        <v>296</v>
      </c>
      <c r="H4" s="219" t="s">
        <v>278</v>
      </c>
      <c r="I4" s="221" t="s">
        <v>279</v>
      </c>
      <c r="J4" s="221" t="s">
        <v>280</v>
      </c>
      <c r="K4" s="222" t="s">
        <v>289</v>
      </c>
      <c r="L4" s="223" t="s">
        <v>297</v>
      </c>
      <c r="M4" s="219" t="s">
        <v>291</v>
      </c>
      <c r="N4" s="221" t="s">
        <v>292</v>
      </c>
      <c r="O4" s="224" t="s">
        <v>293</v>
      </c>
      <c r="Q4" s="40" t="s">
        <v>268</v>
      </c>
      <c r="R4" s="45" t="s">
        <v>3</v>
      </c>
      <c r="S4" s="16" t="s">
        <v>4</v>
      </c>
      <c r="T4" s="17" t="s">
        <v>5</v>
      </c>
      <c r="AA4" s="316" t="s">
        <v>272</v>
      </c>
      <c r="AB4" s="318" t="s">
        <v>277</v>
      </c>
      <c r="AC4" s="318"/>
      <c r="AD4" s="318"/>
      <c r="AF4" s="193" t="s">
        <v>16</v>
      </c>
      <c r="AG4" s="190" t="s">
        <v>217</v>
      </c>
    </row>
    <row r="5" spans="3:33" ht="16.8" thickBot="1" x14ac:dyDescent="0.35">
      <c r="C5" s="320"/>
      <c r="D5" s="315"/>
      <c r="E5" s="225" t="s">
        <v>8</v>
      </c>
      <c r="F5" s="225" t="s">
        <v>9</v>
      </c>
      <c r="G5" s="225" t="s">
        <v>10</v>
      </c>
      <c r="H5" s="225" t="s">
        <v>12</v>
      </c>
      <c r="I5" s="225" t="s">
        <v>12</v>
      </c>
      <c r="J5" s="225" t="s">
        <v>12</v>
      </c>
      <c r="K5" s="226" t="s">
        <v>11</v>
      </c>
      <c r="L5" s="227" t="s">
        <v>10</v>
      </c>
      <c r="M5" s="225" t="s">
        <v>12</v>
      </c>
      <c r="N5" s="225" t="s">
        <v>12</v>
      </c>
      <c r="O5" s="226" t="s">
        <v>12</v>
      </c>
      <c r="Q5" s="18" t="s">
        <v>13</v>
      </c>
      <c r="R5" s="6">
        <f>INTERCEPT(M6:M10,$L6:$L10)</f>
        <v>11.27075885212407</v>
      </c>
      <c r="S5" s="6">
        <f>INTERCEPT(N6:N10,$L6:$L10)</f>
        <v>11.722315135757984</v>
      </c>
      <c r="T5" s="46">
        <f>INTERCEPT(O6:O10,$L6:$L10)</f>
        <v>11.847794148467878</v>
      </c>
      <c r="AA5" s="317"/>
      <c r="AB5" s="197" t="s">
        <v>278</v>
      </c>
      <c r="AC5" s="198" t="s">
        <v>279</v>
      </c>
      <c r="AD5" s="198" t="s">
        <v>280</v>
      </c>
      <c r="AF5" s="172" t="s">
        <v>268</v>
      </c>
      <c r="AG5" s="151">
        <v>3.8433333333333337</v>
      </c>
    </row>
    <row r="6" spans="3:33" x14ac:dyDescent="0.3">
      <c r="C6" s="228" t="s">
        <v>60</v>
      </c>
      <c r="D6" s="279" t="s">
        <v>262</v>
      </c>
      <c r="E6" s="230">
        <v>8282.7839775080029</v>
      </c>
      <c r="F6" s="256">
        <v>900</v>
      </c>
      <c r="G6" s="231">
        <v>270.3565142468031</v>
      </c>
      <c r="H6" s="230">
        <v>2568</v>
      </c>
      <c r="I6" s="230">
        <v>2342</v>
      </c>
      <c r="J6" s="230">
        <v>2998</v>
      </c>
      <c r="K6" s="233">
        <v>3.55</v>
      </c>
      <c r="L6" s="234">
        <f t="shared" ref="L6:L10" si="0">LOG10(G6)</f>
        <v>2.4319368383738458</v>
      </c>
      <c r="M6" s="235">
        <f t="shared" ref="M6:O6" si="1">LOG10(H6)</f>
        <v>3.4095950193968156</v>
      </c>
      <c r="N6" s="235">
        <f t="shared" si="1"/>
        <v>3.3695868907363442</v>
      </c>
      <c r="O6" s="236">
        <f t="shared" si="1"/>
        <v>3.4768316285122607</v>
      </c>
      <c r="Q6" s="19" t="s">
        <v>14</v>
      </c>
      <c r="R6" s="20">
        <f>10^R5</f>
        <v>186534364597.27124</v>
      </c>
      <c r="S6" s="21">
        <f t="shared" ref="S6:T6" si="2">10^S5</f>
        <v>527612572427.927</v>
      </c>
      <c r="T6" s="22">
        <f t="shared" si="2"/>
        <v>704359130175.97144</v>
      </c>
      <c r="AA6" s="199" t="s">
        <v>262</v>
      </c>
      <c r="AB6" s="200">
        <v>37.99973806289055</v>
      </c>
      <c r="AC6" s="200">
        <v>41.728052492072607</v>
      </c>
      <c r="AD6" s="200">
        <v>45.579099529821917</v>
      </c>
      <c r="AF6" s="173" t="s">
        <v>267</v>
      </c>
      <c r="AG6" s="153">
        <v>3.7915079177288207</v>
      </c>
    </row>
    <row r="7" spans="3:33" ht="16.2" thickBot="1" x14ac:dyDescent="0.35">
      <c r="C7" s="237" t="s">
        <v>61</v>
      </c>
      <c r="D7" s="276" t="s">
        <v>262</v>
      </c>
      <c r="E7" s="239">
        <v>10854.604709494321</v>
      </c>
      <c r="F7" s="258">
        <v>900</v>
      </c>
      <c r="G7" s="240">
        <v>218.9301355424972</v>
      </c>
      <c r="H7" s="239">
        <v>2266</v>
      </c>
      <c r="I7" s="239">
        <v>2052</v>
      </c>
      <c r="J7" s="239">
        <v>2916</v>
      </c>
      <c r="K7" s="242">
        <v>3.98</v>
      </c>
      <c r="L7" s="243">
        <f t="shared" si="0"/>
        <v>2.3403055459398785</v>
      </c>
      <c r="M7" s="244">
        <f t="shared" ref="M7:M10" si="3">LOG10(H7)</f>
        <v>3.3552599055273786</v>
      </c>
      <c r="N7" s="244">
        <f t="shared" ref="N7:N10" si="4">LOG10(I7)</f>
        <v>3.3121773564397787</v>
      </c>
      <c r="O7" s="245">
        <f t="shared" ref="O7:O10" si="5">LOG10(J7)</f>
        <v>3.4647875196459372</v>
      </c>
      <c r="Q7" s="19" t="s">
        <v>15</v>
      </c>
      <c r="R7" s="13">
        <f>SLOPE(M6:M10,$L6:$L10)</f>
        <v>-3.3363866110171689</v>
      </c>
      <c r="S7" s="13">
        <f>SLOPE(N6:N10,$L6:$L10)</f>
        <v>-3.5313600641188896</v>
      </c>
      <c r="T7" s="47">
        <f>SLOPE(O6:O10,$L6:$L10)</f>
        <v>-3.5253887901225709</v>
      </c>
      <c r="AA7" s="201" t="s">
        <v>263</v>
      </c>
      <c r="AB7" s="202">
        <v>40.698169139451373</v>
      </c>
      <c r="AC7" s="202">
        <v>45.90819559904655</v>
      </c>
      <c r="AD7" s="202">
        <v>47.657203363470693</v>
      </c>
      <c r="AF7" s="173" t="s">
        <v>269</v>
      </c>
      <c r="AG7" s="153">
        <v>3.9783333333333331</v>
      </c>
    </row>
    <row r="8" spans="3:33" ht="16.2" thickBot="1" x14ac:dyDescent="0.35">
      <c r="C8" s="237" t="s">
        <v>208</v>
      </c>
      <c r="D8" s="276" t="s">
        <v>262</v>
      </c>
      <c r="E8" s="239">
        <v>10356.826000000001</v>
      </c>
      <c r="F8" s="258">
        <v>680</v>
      </c>
      <c r="G8" s="240">
        <v>181.18235200192152</v>
      </c>
      <c r="H8" s="239">
        <v>3422</v>
      </c>
      <c r="I8" s="239">
        <v>4210</v>
      </c>
      <c r="J8" s="239">
        <v>6455</v>
      </c>
      <c r="K8" s="283">
        <v>3.76</v>
      </c>
      <c r="L8" s="243">
        <f t="shared" si="0"/>
        <v>2.2581158931120671</v>
      </c>
      <c r="M8" s="244">
        <f t="shared" si="3"/>
        <v>3.5342800052050816</v>
      </c>
      <c r="N8" s="244">
        <f t="shared" si="4"/>
        <v>3.6242820958356683</v>
      </c>
      <c r="O8" s="245">
        <f t="shared" si="5"/>
        <v>3.8098962466024391</v>
      </c>
      <c r="Q8" s="30" t="s">
        <v>59</v>
      </c>
      <c r="R8" s="31">
        <f>10^((6-R5)/R7)</f>
        <v>37.99973806289055</v>
      </c>
      <c r="S8" s="26">
        <f>10^((6-S5)/S7)</f>
        <v>41.728052492072607</v>
      </c>
      <c r="T8" s="27">
        <f>10^((6-T5)/T7)</f>
        <v>45.579099529821917</v>
      </c>
      <c r="V8" s="140" t="s">
        <v>187</v>
      </c>
      <c r="W8" s="144">
        <f>$R$6*100^$R$7</f>
        <v>39626.492244807749</v>
      </c>
      <c r="X8" s="144">
        <f>$S$6*100^$S$7</f>
        <v>45666.214000969921</v>
      </c>
      <c r="Y8" s="145">
        <f>$T$6*100^$T$7</f>
        <v>62663.777028603297</v>
      </c>
      <c r="AA8" s="201" t="s">
        <v>264</v>
      </c>
      <c r="AB8" s="202">
        <v>31.201940060778032</v>
      </c>
      <c r="AC8" s="202">
        <v>37.192335943599971</v>
      </c>
      <c r="AD8" s="202">
        <v>39.104963549924086</v>
      </c>
      <c r="AF8" s="173" t="s">
        <v>270</v>
      </c>
      <c r="AG8" s="153">
        <v>3.6183333333333336</v>
      </c>
    </row>
    <row r="9" spans="3:33" ht="16.2" thickBot="1" x14ac:dyDescent="0.35">
      <c r="C9" s="237" t="s">
        <v>209</v>
      </c>
      <c r="D9" s="276" t="s">
        <v>262</v>
      </c>
      <c r="E9" s="239">
        <v>11140.392</v>
      </c>
      <c r="F9" s="258">
        <v>700</v>
      </c>
      <c r="G9" s="240">
        <v>170.17507265261514</v>
      </c>
      <c r="H9" s="239">
        <v>5827</v>
      </c>
      <c r="I9" s="239">
        <v>6009</v>
      </c>
      <c r="J9" s="239">
        <v>8023</v>
      </c>
      <c r="K9" s="283">
        <v>4.1100000000000003</v>
      </c>
      <c r="L9" s="243">
        <f t="shared" si="0"/>
        <v>2.2308959446894354</v>
      </c>
      <c r="M9" s="244">
        <f t="shared" si="3"/>
        <v>3.76544501809015</v>
      </c>
      <c r="N9" s="244">
        <f t="shared" si="4"/>
        <v>3.7788022040132385</v>
      </c>
      <c r="O9" s="245">
        <f t="shared" si="5"/>
        <v>3.904336792202495</v>
      </c>
      <c r="V9" s="191" t="s">
        <v>298</v>
      </c>
      <c r="W9" s="144">
        <f>$R$6*250^$R$7</f>
        <v>1863.3906550818963</v>
      </c>
      <c r="X9" s="144">
        <f>$S$6*250^$S$7</f>
        <v>1796.0794876554744</v>
      </c>
      <c r="Y9" s="145">
        <f>$T$6*250^$T$7</f>
        <v>2478.1256477065422</v>
      </c>
      <c r="AA9" s="199" t="s">
        <v>265</v>
      </c>
      <c r="AB9" s="200">
        <v>22.85669286413739</v>
      </c>
      <c r="AC9" s="200">
        <v>23.358048092436537</v>
      </c>
      <c r="AD9" s="200">
        <v>26.456065531938055</v>
      </c>
      <c r="AF9" s="174" t="s">
        <v>271</v>
      </c>
      <c r="AG9" s="155">
        <v>3.7085097659754154</v>
      </c>
    </row>
    <row r="10" spans="3:33" ht="16.2" thickBot="1" x14ac:dyDescent="0.35">
      <c r="C10" s="246" t="s">
        <v>210</v>
      </c>
      <c r="D10" s="277" t="s">
        <v>262</v>
      </c>
      <c r="E10" s="248">
        <v>14936.25</v>
      </c>
      <c r="F10" s="278">
        <v>520</v>
      </c>
      <c r="G10" s="249">
        <v>89.072355262648344</v>
      </c>
      <c r="H10" s="248">
        <v>76735</v>
      </c>
      <c r="I10" s="248">
        <v>86429</v>
      </c>
      <c r="J10" s="248">
        <v>114814</v>
      </c>
      <c r="K10" s="284">
        <v>3.99</v>
      </c>
      <c r="L10" s="252">
        <f t="shared" si="0"/>
        <v>1.9497429361379588</v>
      </c>
      <c r="M10" s="253">
        <f t="shared" si="3"/>
        <v>4.8849934974534648</v>
      </c>
      <c r="N10" s="253">
        <f t="shared" si="4"/>
        <v>4.9366594881592292</v>
      </c>
      <c r="O10" s="254">
        <f t="shared" si="5"/>
        <v>5.0599948475744769</v>
      </c>
      <c r="Q10" s="40" t="s">
        <v>267</v>
      </c>
      <c r="R10" s="45" t="s">
        <v>3</v>
      </c>
      <c r="S10" s="16" t="s">
        <v>4</v>
      </c>
      <c r="T10" s="17" t="s">
        <v>5</v>
      </c>
      <c r="AA10" s="196" t="s">
        <v>266</v>
      </c>
      <c r="AB10" s="203">
        <v>27.089094765716354</v>
      </c>
      <c r="AC10" s="203">
        <v>27.08690971907658</v>
      </c>
      <c r="AD10" s="203">
        <v>28.789696738896637</v>
      </c>
    </row>
    <row r="11" spans="3:33" ht="16.2" customHeight="1" x14ac:dyDescent="0.3">
      <c r="C11" s="218" t="s">
        <v>62</v>
      </c>
      <c r="D11" s="279" t="s">
        <v>263</v>
      </c>
      <c r="E11" s="230">
        <v>9697.5733663904502</v>
      </c>
      <c r="F11" s="256">
        <v>900</v>
      </c>
      <c r="G11" s="231">
        <v>274.88475283729576</v>
      </c>
      <c r="H11" s="230">
        <v>1924</v>
      </c>
      <c r="I11" s="230">
        <v>1804</v>
      </c>
      <c r="J11" s="230">
        <v>2628</v>
      </c>
      <c r="K11" s="233">
        <v>2.7423171671668078</v>
      </c>
      <c r="L11" s="234">
        <v>2.4391506512939238</v>
      </c>
      <c r="M11" s="235">
        <v>3.284205067701794</v>
      </c>
      <c r="N11" s="235">
        <v>3.2562365332059229</v>
      </c>
      <c r="O11" s="236">
        <v>3.4196253608877432</v>
      </c>
      <c r="Q11" s="18" t="s">
        <v>13</v>
      </c>
      <c r="R11" s="6">
        <f>INTERCEPT(M11:M16,$L11:$L16)</f>
        <v>10.972029277901282</v>
      </c>
      <c r="S11" s="6">
        <f>INTERCEPT(N11:N16,$L11:$L16)</f>
        <v>11.54241860871981</v>
      </c>
      <c r="T11" s="46">
        <f>INTERCEPT(O11:O16,$L11:$L16)</f>
        <v>11.391632924720643</v>
      </c>
      <c r="AA11" s="282"/>
      <c r="AB11" s="282"/>
      <c r="AC11" s="282"/>
      <c r="AD11" s="282"/>
    </row>
    <row r="12" spans="3:33" x14ac:dyDescent="0.3">
      <c r="C12" s="285" t="s">
        <v>274</v>
      </c>
      <c r="D12" s="276" t="s">
        <v>263</v>
      </c>
      <c r="E12" s="239">
        <v>11660.308000000001</v>
      </c>
      <c r="F12" s="258">
        <v>440</v>
      </c>
      <c r="G12" s="240">
        <v>105.02228085395753</v>
      </c>
      <c r="H12" s="239">
        <v>74415</v>
      </c>
      <c r="I12" s="239">
        <v>94768</v>
      </c>
      <c r="J12" s="239">
        <v>115995</v>
      </c>
      <c r="K12" s="242">
        <v>3.9848080714693701</v>
      </c>
      <c r="L12" s="243">
        <v>2.0212814459785688</v>
      </c>
      <c r="M12" s="244">
        <v>4.8716604860918666</v>
      </c>
      <c r="N12" s="244">
        <v>4.976661715296868</v>
      </c>
      <c r="O12" s="245">
        <v>5.0644392692337306</v>
      </c>
      <c r="Q12" s="19" t="s">
        <v>14</v>
      </c>
      <c r="R12" s="20">
        <f>10^R11</f>
        <v>93762521466.697052</v>
      </c>
      <c r="S12" s="21">
        <f t="shared" ref="S12:T12" si="6">10^S11</f>
        <v>348673233039.57013</v>
      </c>
      <c r="T12" s="22">
        <f t="shared" si="6"/>
        <v>246395586699.18143</v>
      </c>
      <c r="AA12" s="282"/>
      <c r="AB12" s="282"/>
      <c r="AC12" s="282"/>
      <c r="AD12" s="282"/>
    </row>
    <row r="13" spans="3:33" ht="16.8" thickBot="1" x14ac:dyDescent="0.35">
      <c r="C13" s="285" t="s">
        <v>63</v>
      </c>
      <c r="D13" s="276" t="s">
        <v>263</v>
      </c>
      <c r="E13" s="239">
        <v>12861.442000000001</v>
      </c>
      <c r="F13" s="258">
        <v>450</v>
      </c>
      <c r="G13" s="240">
        <v>111.68059274613702</v>
      </c>
      <c r="H13" s="239">
        <v>33367</v>
      </c>
      <c r="I13" s="239">
        <v>37010</v>
      </c>
      <c r="J13" s="239">
        <v>46952</v>
      </c>
      <c r="K13" s="242">
        <v>4.16</v>
      </c>
      <c r="L13" s="243">
        <v>2.047977710308575</v>
      </c>
      <c r="M13" s="244">
        <v>4.523317161344198</v>
      </c>
      <c r="N13" s="244">
        <v>4.5683190850951121</v>
      </c>
      <c r="O13" s="245">
        <v>4.6716540965055167</v>
      </c>
      <c r="Q13" s="19" t="s">
        <v>15</v>
      </c>
      <c r="R13" s="13">
        <f>SLOPE(M11:M16,$L11:$L16)</f>
        <v>-3.089032615562044</v>
      </c>
      <c r="S13" s="13">
        <f>SLOPE(N11:N16,$L11:$L16)</f>
        <v>-3.3350088536770999</v>
      </c>
      <c r="T13" s="47">
        <f>SLOPE(O11:O16,$L11:$L16)</f>
        <v>-3.2128843252165367</v>
      </c>
      <c r="AA13" s="310" t="s">
        <v>272</v>
      </c>
      <c r="AB13" s="209" t="s">
        <v>283</v>
      </c>
      <c r="AC13" s="209" t="s">
        <v>294</v>
      </c>
      <c r="AD13" s="209" t="s">
        <v>295</v>
      </c>
    </row>
    <row r="14" spans="3:33" ht="16.2" thickBot="1" x14ac:dyDescent="0.35">
      <c r="C14" s="285" t="s">
        <v>205</v>
      </c>
      <c r="D14" s="276" t="s">
        <v>263</v>
      </c>
      <c r="E14" s="239">
        <v>9880.1720000000005</v>
      </c>
      <c r="F14" s="258">
        <v>650</v>
      </c>
      <c r="G14" s="240">
        <v>213.92719279282133</v>
      </c>
      <c r="H14" s="239">
        <v>6639</v>
      </c>
      <c r="I14" s="239">
        <v>6149</v>
      </c>
      <c r="J14" s="239">
        <v>8597</v>
      </c>
      <c r="K14" s="242">
        <v>3.86</v>
      </c>
      <c r="L14" s="243">
        <v>2.3302659922819524</v>
      </c>
      <c r="M14" s="244">
        <v>3.8221026686469202</v>
      </c>
      <c r="N14" s="244">
        <v>3.7888044930446485</v>
      </c>
      <c r="O14" s="245">
        <v>3.9343469267382556</v>
      </c>
      <c r="Q14" s="30" t="s">
        <v>59</v>
      </c>
      <c r="R14" s="31">
        <f>10^((6-R11)/R13)</f>
        <v>40.698169139451373</v>
      </c>
      <c r="S14" s="26">
        <f>10^((6-S11)/S13)</f>
        <v>45.90819559904655</v>
      </c>
      <c r="T14" s="27">
        <f>10^((6-T11)/T13)</f>
        <v>47.657203363470693</v>
      </c>
      <c r="V14" s="140" t="s">
        <v>187</v>
      </c>
      <c r="W14" s="144">
        <f>R$12*100^R$13</f>
        <v>62224.876995159255</v>
      </c>
      <c r="X14" s="144">
        <f t="shared" ref="X14:Y14" si="7">S$12*100^S$13</f>
        <v>74541.976047449381</v>
      </c>
      <c r="Y14" s="144">
        <f t="shared" si="7"/>
        <v>92440.92324152455</v>
      </c>
      <c r="AA14" s="311"/>
      <c r="AB14" s="197" t="s">
        <v>12</v>
      </c>
      <c r="AC14" s="197" t="s">
        <v>12</v>
      </c>
      <c r="AD14" s="197" t="s">
        <v>10</v>
      </c>
    </row>
    <row r="15" spans="3:33" ht="16.2" thickBot="1" x14ac:dyDescent="0.35">
      <c r="C15" s="285" t="s">
        <v>206</v>
      </c>
      <c r="D15" s="276" t="s">
        <v>263</v>
      </c>
      <c r="E15" s="239">
        <v>10751.588</v>
      </c>
      <c r="F15" s="258">
        <v>920</v>
      </c>
      <c r="G15" s="240">
        <v>273.66221398865548</v>
      </c>
      <c r="H15" s="239">
        <v>1804</v>
      </c>
      <c r="I15" s="239">
        <v>1667</v>
      </c>
      <c r="J15" s="239">
        <v>2266</v>
      </c>
      <c r="K15" s="242">
        <v>3.62</v>
      </c>
      <c r="L15" s="243">
        <v>2.4372148361785051</v>
      </c>
      <c r="M15" s="244">
        <v>3.2562365332059229</v>
      </c>
      <c r="N15" s="244">
        <v>3.2219355998280053</v>
      </c>
      <c r="O15" s="245">
        <v>3.3552599055273786</v>
      </c>
      <c r="V15" s="191" t="s">
        <v>298</v>
      </c>
      <c r="W15" s="144">
        <f>R$12*250^R$13</f>
        <v>3670.4083223736575</v>
      </c>
      <c r="X15" s="144">
        <f>S$12*250^S$13</f>
        <v>3509.6794209728782</v>
      </c>
      <c r="Y15" s="144">
        <f>T$12*250^T$13</f>
        <v>4867.7588838021056</v>
      </c>
      <c r="AA15" s="210" t="s">
        <v>262</v>
      </c>
      <c r="AB15" s="211">
        <v>45666.214000969921</v>
      </c>
      <c r="AC15" s="212">
        <f>-S7</f>
        <v>3.5313600641188896</v>
      </c>
      <c r="AD15" s="211">
        <f>10^(((5+LOG10(2))-$S$5)/$S$7)</f>
        <v>65.820375423553642</v>
      </c>
    </row>
    <row r="16" spans="3:33" ht="16.2" thickBot="1" x14ac:dyDescent="0.35">
      <c r="C16" s="286" t="s">
        <v>207</v>
      </c>
      <c r="D16" s="280" t="s">
        <v>263</v>
      </c>
      <c r="E16" s="260">
        <v>7337.4980000000014</v>
      </c>
      <c r="F16" s="262">
        <v>700</v>
      </c>
      <c r="G16" s="261">
        <v>317.44035059579937</v>
      </c>
      <c r="H16" s="260">
        <v>3276</v>
      </c>
      <c r="I16" s="260">
        <v>3121</v>
      </c>
      <c r="J16" s="260">
        <v>4353</v>
      </c>
      <c r="K16" s="263">
        <v>4.3819222677367486</v>
      </c>
      <c r="L16" s="264">
        <v>2.5016621301292541</v>
      </c>
      <c r="M16" s="265">
        <v>3.5153438930883807</v>
      </c>
      <c r="N16" s="265">
        <v>3.4942937686653326</v>
      </c>
      <c r="O16" s="266">
        <v>3.6387886671573981</v>
      </c>
      <c r="Q16" s="40" t="s">
        <v>269</v>
      </c>
      <c r="R16" s="45" t="s">
        <v>3</v>
      </c>
      <c r="S16" s="16" t="s">
        <v>4</v>
      </c>
      <c r="T16" s="17" t="s">
        <v>5</v>
      </c>
      <c r="AA16" s="213" t="s">
        <v>263</v>
      </c>
      <c r="AB16" s="202">
        <v>48007.090520926329</v>
      </c>
      <c r="AC16" s="214">
        <f>-S13</f>
        <v>3.3350088536770999</v>
      </c>
      <c r="AD16" s="202">
        <f>10^(((5+LOG10(2))-$S$11)/$S$13)</f>
        <v>74.38337421461523</v>
      </c>
    </row>
    <row r="17" spans="3:30" ht="15.6" x14ac:dyDescent="0.3">
      <c r="C17" s="267" t="s">
        <v>56</v>
      </c>
      <c r="D17" s="268" t="s">
        <v>264</v>
      </c>
      <c r="E17" s="269">
        <v>9129.7999999999993</v>
      </c>
      <c r="F17" s="270">
        <v>520</v>
      </c>
      <c r="G17" s="271">
        <v>99.399084676108416</v>
      </c>
      <c r="H17" s="269">
        <v>34539</v>
      </c>
      <c r="I17" s="269">
        <v>43150</v>
      </c>
      <c r="J17" s="269">
        <v>54324</v>
      </c>
      <c r="K17" s="272">
        <v>3.65</v>
      </c>
      <c r="L17" s="273">
        <f t="shared" ref="L17:L31" si="8">LOG10(G17)</f>
        <v>1.9973823851825692</v>
      </c>
      <c r="M17" s="274">
        <f t="shared" ref="M17:M31" si="9">LOG10(H17)</f>
        <v>4.5383097593817334</v>
      </c>
      <c r="N17" s="274">
        <v>4.6349808000512285</v>
      </c>
      <c r="O17" s="275">
        <f t="shared" ref="O17:O31" si="10">LOG10(J17)</f>
        <v>4.7349917405428767</v>
      </c>
      <c r="Q17" s="18" t="s">
        <v>13</v>
      </c>
      <c r="R17" s="6">
        <f>INTERCEPT(M17:M21,$L17:$L21)</f>
        <v>10.504523021222662</v>
      </c>
      <c r="S17" s="6">
        <f>INTERCEPT(N17:N21,$L17:$L21)</f>
        <v>11.184683775344149</v>
      </c>
      <c r="T17" s="46">
        <f>INTERCEPT(O17:O21,$L17:$L21)</f>
        <v>11.115054415995735</v>
      </c>
      <c r="AA17" s="213" t="s">
        <v>264</v>
      </c>
      <c r="AB17" s="202">
        <v>38185.468260094574</v>
      </c>
      <c r="AC17" s="214">
        <f>-S19</f>
        <v>3.3013928273570374</v>
      </c>
      <c r="AD17" s="202">
        <f>10^(((5+LOG10(2))-$S$17)/$S$19)</f>
        <v>60.558232066857656</v>
      </c>
    </row>
    <row r="18" spans="3:30" x14ac:dyDescent="0.3">
      <c r="C18" s="237" t="s">
        <v>57</v>
      </c>
      <c r="D18" s="276" t="s">
        <v>264</v>
      </c>
      <c r="E18" s="239">
        <v>11433.804878048781</v>
      </c>
      <c r="F18" s="258">
        <v>950</v>
      </c>
      <c r="G18" s="240">
        <v>227.52962444998312</v>
      </c>
      <c r="H18" s="239">
        <v>1818</v>
      </c>
      <c r="I18" s="239">
        <v>1823</v>
      </c>
      <c r="J18" s="239">
        <v>2530</v>
      </c>
      <c r="K18" s="242">
        <v>3.5</v>
      </c>
      <c r="L18" s="243">
        <f t="shared" si="8"/>
        <v>2.3570379499933893</v>
      </c>
      <c r="M18" s="244">
        <f t="shared" si="9"/>
        <v>3.2595938788859486</v>
      </c>
      <c r="N18" s="244">
        <v>3.2607866686549762</v>
      </c>
      <c r="O18" s="245">
        <f t="shared" si="10"/>
        <v>3.403120521175818</v>
      </c>
      <c r="Q18" s="19" t="s">
        <v>14</v>
      </c>
      <c r="R18" s="20">
        <f>10^R17</f>
        <v>31953837422.560936</v>
      </c>
      <c r="S18" s="21">
        <f t="shared" ref="S18:T18" si="11">10^S17</f>
        <v>152997303034.77661</v>
      </c>
      <c r="T18" s="22">
        <f t="shared" si="11"/>
        <v>130333007217.03075</v>
      </c>
      <c r="AA18" s="215" t="s">
        <v>265</v>
      </c>
      <c r="AB18" s="200">
        <v>24881.803107944565</v>
      </c>
      <c r="AC18" s="216">
        <f>-S25</f>
        <v>2.5399160551296682</v>
      </c>
      <c r="AD18" s="200">
        <f>10^(((5+LOG10(2))-$S$23)/$S$25)</f>
        <v>44.018038334046111</v>
      </c>
    </row>
    <row r="19" spans="3:30" ht="16.2" thickBot="1" x14ac:dyDescent="0.35">
      <c r="C19" s="237" t="s">
        <v>58</v>
      </c>
      <c r="D19" s="276" t="s">
        <v>264</v>
      </c>
      <c r="E19" s="239">
        <v>10351.020487804875</v>
      </c>
      <c r="F19" s="258">
        <v>900</v>
      </c>
      <c r="G19" s="240">
        <v>236.74347280731513</v>
      </c>
      <c r="H19" s="239">
        <v>2104</v>
      </c>
      <c r="I19" s="239">
        <v>2004</v>
      </c>
      <c r="J19" s="239">
        <v>2718</v>
      </c>
      <c r="K19" s="242">
        <v>3.93</v>
      </c>
      <c r="L19" s="243">
        <f t="shared" si="8"/>
        <v>2.3742780140202204</v>
      </c>
      <c r="M19" s="244">
        <f t="shared" si="9"/>
        <v>3.3230457354817013</v>
      </c>
      <c r="N19" s="244">
        <v>3.301897717195208</v>
      </c>
      <c r="O19" s="245">
        <f t="shared" si="10"/>
        <v>3.4342494523964757</v>
      </c>
      <c r="Q19" s="19" t="s">
        <v>15</v>
      </c>
      <c r="R19" s="13">
        <f>SLOPE(M17:M21,$L17:$L21)</f>
        <v>-3.0147092070665944</v>
      </c>
      <c r="S19" s="13">
        <f>SLOPE(N17:N21,$L17:$L21)</f>
        <v>-3.3013928273570374</v>
      </c>
      <c r="T19" s="47">
        <f>SLOPE(O17:O21,$L17:$L21)</f>
        <v>-3.2125059564825968</v>
      </c>
      <c r="AA19" s="197" t="s">
        <v>266</v>
      </c>
      <c r="AB19" s="203">
        <v>26245.149819503233</v>
      </c>
      <c r="AC19" s="217">
        <f>-S31</f>
        <v>2.7870908951550399</v>
      </c>
      <c r="AD19" s="203">
        <f>10^(((5+LOG10(2))-$S$29)/$S$31)</f>
        <v>48.255613123001247</v>
      </c>
    </row>
    <row r="20" spans="3:30" ht="16.2" thickBot="1" x14ac:dyDescent="0.35">
      <c r="C20" s="237" t="s">
        <v>203</v>
      </c>
      <c r="D20" s="276" t="s">
        <v>264</v>
      </c>
      <c r="E20" s="239">
        <v>13079.634</v>
      </c>
      <c r="F20" s="258">
        <v>700</v>
      </c>
      <c r="G20" s="240">
        <v>145.09705352687868</v>
      </c>
      <c r="H20" s="239">
        <v>7224</v>
      </c>
      <c r="I20" s="239">
        <v>8619</v>
      </c>
      <c r="J20" s="239">
        <v>11793</v>
      </c>
      <c r="K20" s="242">
        <v>3.03</v>
      </c>
      <c r="L20" s="243">
        <f t="shared" si="8"/>
        <v>2.1616585933473824</v>
      </c>
      <c r="M20" s="244">
        <f t="shared" si="9"/>
        <v>3.8587777373054495</v>
      </c>
      <c r="N20" s="244">
        <v>3.9354568807116097</v>
      </c>
      <c r="O20" s="245">
        <f t="shared" si="10"/>
        <v>4.0716242985397519</v>
      </c>
      <c r="Q20" s="30" t="s">
        <v>59</v>
      </c>
      <c r="R20" s="31">
        <f>10^((6-R17)/R19)</f>
        <v>31.201940060778032</v>
      </c>
      <c r="S20" s="26">
        <f>10^((6-S17)/S19)</f>
        <v>37.192335943599971</v>
      </c>
      <c r="T20" s="27">
        <f>10^((6-T17)/T19)</f>
        <v>39.104963549924086</v>
      </c>
      <c r="V20" s="140" t="s">
        <v>187</v>
      </c>
      <c r="W20" s="144">
        <f>R18*100^R19</f>
        <v>29861.017848598814</v>
      </c>
      <c r="X20" s="144">
        <f>S18*100^S19</f>
        <v>38185.468260094574</v>
      </c>
      <c r="Y20" s="145">
        <f>T18*100^T19</f>
        <v>48982.675482162311</v>
      </c>
    </row>
    <row r="21" spans="3:30" ht="16.2" thickBot="1" x14ac:dyDescent="0.35">
      <c r="C21" s="287" t="s">
        <v>204</v>
      </c>
      <c r="D21" s="277" t="s">
        <v>264</v>
      </c>
      <c r="E21" s="248">
        <v>10152.028</v>
      </c>
      <c r="F21" s="278">
        <v>650</v>
      </c>
      <c r="G21" s="249">
        <v>216.93955140937106</v>
      </c>
      <c r="H21" s="248">
        <v>4985</v>
      </c>
      <c r="I21" s="248">
        <v>5328</v>
      </c>
      <c r="J21" s="248">
        <v>7336</v>
      </c>
      <c r="K21" s="251">
        <v>4.0068059285690243</v>
      </c>
      <c r="L21" s="264">
        <f t="shared" si="8"/>
        <v>2.3363387377815266</v>
      </c>
      <c r="M21" s="265">
        <f t="shared" si="9"/>
        <v>3.6976651626476746</v>
      </c>
      <c r="N21" s="265">
        <v>3.7265642161622448</v>
      </c>
      <c r="O21" s="266">
        <f t="shared" si="10"/>
        <v>3.8654593226619647</v>
      </c>
      <c r="V21" s="191" t="s">
        <v>298</v>
      </c>
      <c r="W21" s="144">
        <f>$R$18*250^$R$19</f>
        <v>1885.5202417882904</v>
      </c>
      <c r="X21" s="144">
        <f>$S$18*250^$S$19</f>
        <v>1854.1370417529326</v>
      </c>
      <c r="Y21" s="145">
        <f>$T$18*250^$T$19</f>
        <v>2580.2266398769848</v>
      </c>
    </row>
    <row r="22" spans="3:30" ht="16.2" thickBot="1" x14ac:dyDescent="0.35">
      <c r="C22" s="228" t="s">
        <v>211</v>
      </c>
      <c r="D22" s="279" t="s">
        <v>265</v>
      </c>
      <c r="E22" s="230">
        <f>[2]C18_SP2_50_E!$K$82</f>
        <v>15446.072</v>
      </c>
      <c r="F22" s="256">
        <f>[2]C18_SP2_50_E!$B$6</f>
        <v>800</v>
      </c>
      <c r="G22" s="231">
        <f>[2]C18_SP2_50_E!$G$5</f>
        <v>127.23317695944992</v>
      </c>
      <c r="H22" s="230">
        <f>[2]C18_SP2_50_E!$G$6</f>
        <v>14070</v>
      </c>
      <c r="I22" s="230">
        <f>[2]C18_SP2_50_E!$G$7</f>
        <v>13909</v>
      </c>
      <c r="J22" s="230">
        <f>[2]C18_SP2_50_E!$G$8</f>
        <v>18548</v>
      </c>
      <c r="K22" s="288">
        <v>4.4400000000000004</v>
      </c>
      <c r="L22" s="234">
        <f t="shared" si="8"/>
        <v>2.104600371467138</v>
      </c>
      <c r="M22" s="235">
        <f t="shared" si="9"/>
        <v>4.1482940974347455</v>
      </c>
      <c r="N22" s="235">
        <f t="shared" ref="N22:N31" si="12">LOG10(I22)</f>
        <v>4.143295907124072</v>
      </c>
      <c r="O22" s="236">
        <f t="shared" si="10"/>
        <v>4.2682970872237664</v>
      </c>
      <c r="Q22" s="40" t="s">
        <v>270</v>
      </c>
      <c r="R22" s="45" t="s">
        <v>3</v>
      </c>
      <c r="S22" s="16" t="s">
        <v>4</v>
      </c>
      <c r="T22" s="17" t="s">
        <v>5</v>
      </c>
    </row>
    <row r="23" spans="3:30" ht="15.6" x14ac:dyDescent="0.3">
      <c r="C23" s="237" t="s">
        <v>212</v>
      </c>
      <c r="D23" s="276" t="s">
        <v>265</v>
      </c>
      <c r="E23" s="239">
        <f>[2]C19_SP2_50_E!$K$82</f>
        <v>10108.638000000001</v>
      </c>
      <c r="F23" s="258">
        <f>[2]C19_SP2_50_E!$B$6</f>
        <v>1100</v>
      </c>
      <c r="G23" s="240">
        <f>[2]C19_SP2_50_E!$G$5</f>
        <v>356.48445204566923</v>
      </c>
      <c r="H23" s="239">
        <f>[2]C19_SP2_50_E!$G$6</f>
        <v>1451</v>
      </c>
      <c r="I23" s="239">
        <f>[2]C19_SP2_50_E!$G$7</f>
        <v>1277</v>
      </c>
      <c r="J23" s="239">
        <f>[2]C19_SP2_50_E!$G$8</f>
        <v>1701</v>
      </c>
      <c r="K23" s="283">
        <v>3.72</v>
      </c>
      <c r="L23" s="243">
        <f t="shared" si="8"/>
        <v>2.5520405929872667</v>
      </c>
      <c r="M23" s="244">
        <f t="shared" si="9"/>
        <v>3.161667412437736</v>
      </c>
      <c r="N23" s="244">
        <f t="shared" si="12"/>
        <v>3.1061908972634154</v>
      </c>
      <c r="O23" s="245">
        <f t="shared" si="10"/>
        <v>3.230704313612569</v>
      </c>
      <c r="Q23" s="18" t="s">
        <v>13</v>
      </c>
      <c r="R23" s="6">
        <f>INTERCEPT(M22:M28,$L22:$L28)</f>
        <v>9.3760322741706386</v>
      </c>
      <c r="S23" s="6">
        <f>INTERCEPT(N22:N28,$L22:$L28)</f>
        <v>9.4757139594073863</v>
      </c>
      <c r="T23" s="46">
        <f>INTERCEPT(O22:O28,$L22:$L28)</f>
        <v>9.6135511583970601</v>
      </c>
    </row>
    <row r="24" spans="3:30" x14ac:dyDescent="0.3">
      <c r="C24" s="237" t="s">
        <v>213</v>
      </c>
      <c r="D24" s="276" t="s">
        <v>265</v>
      </c>
      <c r="E24" s="239">
        <f>[2]C20_SP2_50_E!$K$82</f>
        <v>12174.124</v>
      </c>
      <c r="F24" s="258">
        <f>[2]C20_SP2_50_E!$B$6</f>
        <v>1000</v>
      </c>
      <c r="G24" s="240">
        <f>[2]C20_SP2_50_E!$G$5</f>
        <v>243.95159537733326</v>
      </c>
      <c r="H24" s="239">
        <f>[2]C20_SP2_50_E!$G$6</f>
        <v>3226</v>
      </c>
      <c r="I24" s="239">
        <f>[2]C20_SP2_50_E!$G$7</f>
        <v>3121</v>
      </c>
      <c r="J24" s="239">
        <f>[2]C20_SP2_50_E!$G$8</f>
        <v>4409</v>
      </c>
      <c r="K24" s="283">
        <v>4.04</v>
      </c>
      <c r="L24" s="243">
        <f t="shared" si="8"/>
        <v>2.3873036626258082</v>
      </c>
      <c r="M24" s="244">
        <f t="shared" si="9"/>
        <v>3.5086643630529428</v>
      </c>
      <c r="N24" s="244">
        <f t="shared" si="12"/>
        <v>3.4942937686653326</v>
      </c>
      <c r="O24" s="245">
        <f t="shared" si="10"/>
        <v>3.6443400988263224</v>
      </c>
      <c r="Q24" s="19" t="s">
        <v>14</v>
      </c>
      <c r="R24" s="20">
        <f>10^R23</f>
        <v>2377016925.754766</v>
      </c>
      <c r="S24" s="21">
        <f t="shared" ref="S24:T24" si="13">10^S23</f>
        <v>2990294481.8341513</v>
      </c>
      <c r="T24" s="22">
        <f t="shared" si="13"/>
        <v>4107250190.2067189</v>
      </c>
    </row>
    <row r="25" spans="3:30" ht="16.2" thickBot="1" x14ac:dyDescent="0.35">
      <c r="C25" s="237" t="s">
        <v>214</v>
      </c>
      <c r="D25" s="276" t="s">
        <v>265</v>
      </c>
      <c r="E25" s="239">
        <f>[2]C21_SP2_50_E!$K$82</f>
        <v>14530.005999999999</v>
      </c>
      <c r="F25" s="258">
        <f>[2]C21_SP2_50_E!$B$6</f>
        <v>870</v>
      </c>
      <c r="G25" s="240">
        <f>[2]C21_SP2_50_E!$G$5</f>
        <v>149.6560947021207</v>
      </c>
      <c r="H25" s="239">
        <f>[2]C21_SP2_50_E!$G$6</f>
        <v>7060</v>
      </c>
      <c r="I25" s="239">
        <f>[2]C21_SP2_50_E!$G$7</f>
        <v>6742</v>
      </c>
      <c r="J25" s="239">
        <f>[2]C21_SP2_50_E!$G$8</f>
        <v>9475</v>
      </c>
      <c r="K25" s="283">
        <v>4.04</v>
      </c>
      <c r="L25" s="243">
        <f t="shared" si="8"/>
        <v>2.1750944080562777</v>
      </c>
      <c r="M25" s="244">
        <f t="shared" si="9"/>
        <v>3.8488047010518036</v>
      </c>
      <c r="N25" s="244">
        <f t="shared" si="12"/>
        <v>3.828788748184953</v>
      </c>
      <c r="O25" s="245">
        <f t="shared" si="10"/>
        <v>3.9765792186401101</v>
      </c>
      <c r="Q25" s="19" t="s">
        <v>15</v>
      </c>
      <c r="R25" s="13">
        <f>SLOPE(M22:M28,$L22:$L28)</f>
        <v>-2.4841788114508558</v>
      </c>
      <c r="S25" s="13">
        <f>SLOPE(N22:N28,$L22:$L28)</f>
        <v>-2.5399160551296682</v>
      </c>
      <c r="T25" s="47">
        <f>SLOPE(O22:O28,$L22:$L28)</f>
        <v>-2.5402369054201652</v>
      </c>
    </row>
    <row r="26" spans="3:30" ht="16.2" thickBot="1" x14ac:dyDescent="0.35">
      <c r="C26" s="287" t="s">
        <v>215</v>
      </c>
      <c r="D26" s="280" t="s">
        <v>265</v>
      </c>
      <c r="E26" s="260">
        <f>[2]C23_SP2_50_E!$K$82</f>
        <v>16535.515999999996</v>
      </c>
      <c r="F26" s="262">
        <f>[2]C23_SP2_50_E!$B$6</f>
        <v>620</v>
      </c>
      <c r="G26" s="261">
        <f>[2]C23_SP2_50_E!$G$5</f>
        <v>83.956277262313918</v>
      </c>
      <c r="H26" s="260">
        <f>[2]C23_SP2_50_E!$G$6</f>
        <v>58209</v>
      </c>
      <c r="I26" s="260">
        <f>[2]C23_SP2_50_E!$G$7</f>
        <v>56017</v>
      </c>
      <c r="J26" s="260">
        <f>[2]C23_SP2_50_E!$G$8</f>
        <v>77922</v>
      </c>
      <c r="K26" s="289">
        <v>4.04</v>
      </c>
      <c r="L26" s="264">
        <f t="shared" si="8"/>
        <v>1.9240531731180939</v>
      </c>
      <c r="M26" s="265">
        <f t="shared" si="9"/>
        <v>4.7649901383982227</v>
      </c>
      <c r="N26" s="265">
        <f t="shared" si="12"/>
        <v>4.7483198463952041</v>
      </c>
      <c r="O26" s="266">
        <f t="shared" si="10"/>
        <v>4.8916600909164627</v>
      </c>
      <c r="Q26" s="30" t="s">
        <v>59</v>
      </c>
      <c r="R26" s="31">
        <f>10^((6-R23)/R25)</f>
        <v>22.85669286413739</v>
      </c>
      <c r="S26" s="26">
        <f>10^((6-S23)/S25)</f>
        <v>23.358048092436537</v>
      </c>
      <c r="T26" s="27">
        <f>10^((6-T23)/T25)</f>
        <v>26.456065531938055</v>
      </c>
      <c r="V26" s="140" t="s">
        <v>187</v>
      </c>
      <c r="W26" s="144">
        <f>R24*100^R25</f>
        <v>25566.698576246967</v>
      </c>
      <c r="X26" s="144">
        <f>S24*100^S25</f>
        <v>24881.803107944565</v>
      </c>
      <c r="Y26" s="145">
        <f>T24*100^T25</f>
        <v>34125.36832628004</v>
      </c>
    </row>
    <row r="27" spans="3:30" ht="16.2" thickBot="1" x14ac:dyDescent="0.35">
      <c r="C27" s="281" t="s">
        <v>198</v>
      </c>
      <c r="D27" s="279" t="s">
        <v>266</v>
      </c>
      <c r="E27" s="230">
        <f>[3]D1_PMB_50_E!$K$82</f>
        <v>11218.118</v>
      </c>
      <c r="F27" s="256">
        <f>[3]D1_PMB_50_E!$B$6</f>
        <v>1200</v>
      </c>
      <c r="G27" s="231">
        <f>[3]D1_PMB_50_E!$G$5</f>
        <v>301.29716656169524</v>
      </c>
      <c r="H27" s="230">
        <f>[3]D1_PMB_50_E!$G$6</f>
        <v>1307</v>
      </c>
      <c r="I27" s="230">
        <f>[3]D1_PMB_50_E!$G$7</f>
        <v>1185</v>
      </c>
      <c r="J27" s="230">
        <f>[3]D1_PMB_50_E!$G$8</f>
        <v>1645</v>
      </c>
      <c r="K27" s="288">
        <v>3.69</v>
      </c>
      <c r="L27" s="290">
        <f t="shared" si="8"/>
        <v>2.4789950475299563</v>
      </c>
      <c r="M27" s="291">
        <f t="shared" si="9"/>
        <v>3.1162755875805441</v>
      </c>
      <c r="N27" s="291">
        <f t="shared" si="12"/>
        <v>3.0737183503461227</v>
      </c>
      <c r="O27" s="292">
        <f t="shared" si="10"/>
        <v>3.2161659022859932</v>
      </c>
      <c r="V27" s="191" t="s">
        <v>298</v>
      </c>
      <c r="W27" s="144">
        <f>$R$6*250^$R$7</f>
        <v>1863.3906550818963</v>
      </c>
      <c r="X27" s="144">
        <f>$S$6*250^$S$7</f>
        <v>1796.0794876554744</v>
      </c>
      <c r="Y27" s="145">
        <f>$T$6*250^$T$7</f>
        <v>2478.1256477065422</v>
      </c>
    </row>
    <row r="28" spans="3:30" ht="16.2" thickBot="1" x14ac:dyDescent="0.35">
      <c r="C28" s="257" t="s">
        <v>199</v>
      </c>
      <c r="D28" s="276" t="s">
        <v>266</v>
      </c>
      <c r="E28" s="239">
        <f>[3]D8_PMB_50_E!$K$82</f>
        <v>17002.836000000003</v>
      </c>
      <c r="F28" s="258">
        <f>[3]D8_PMB_50_E!$B$6</f>
        <v>900</v>
      </c>
      <c r="G28" s="240">
        <f>[3]D8_PMB_50_E!$G$5</f>
        <v>120.24127946465353</v>
      </c>
      <c r="H28" s="239">
        <f>[3]D8_PMB_50_E!$G$6</f>
        <v>11929</v>
      </c>
      <c r="I28" s="239">
        <f>[3]D8_PMB_50_E!$G$7</f>
        <v>11305</v>
      </c>
      <c r="J28" s="239">
        <f>[3]D8_PMB_50_E!$G$8</f>
        <v>15134</v>
      </c>
      <c r="K28" s="283">
        <v>3.42</v>
      </c>
      <c r="L28" s="293">
        <f t="shared" si="8"/>
        <v>2.0800535888486658</v>
      </c>
      <c r="M28" s="294">
        <f t="shared" si="9"/>
        <v>4.0766040385836106</v>
      </c>
      <c r="N28" s="294">
        <f t="shared" si="12"/>
        <v>4.0532705666813786</v>
      </c>
      <c r="O28" s="295">
        <f t="shared" si="10"/>
        <v>4.1799537296315483</v>
      </c>
      <c r="Q28" s="40" t="s">
        <v>271</v>
      </c>
      <c r="R28" s="45" t="s">
        <v>3</v>
      </c>
      <c r="S28" s="16" t="s">
        <v>4</v>
      </c>
      <c r="T28" s="17" t="s">
        <v>5</v>
      </c>
    </row>
    <row r="29" spans="3:30" ht="15.6" x14ac:dyDescent="0.3">
      <c r="C29" s="257" t="s">
        <v>201</v>
      </c>
      <c r="D29" s="268" t="s">
        <v>266</v>
      </c>
      <c r="E29" s="239">
        <f>[3]D13_PMB_50_E!$K$82</f>
        <v>17849.649999999998</v>
      </c>
      <c r="F29" s="258">
        <f>[3]D13_PMB_50_E!$B$6</f>
        <v>700</v>
      </c>
      <c r="G29" s="240">
        <f>[3]D13_PMB_50_E!$G$5</f>
        <v>98.727658266813009</v>
      </c>
      <c r="H29" s="239">
        <f>[3]D13_PMB_50_E!$G$6</f>
        <v>33112</v>
      </c>
      <c r="I29" s="239">
        <f>[3]D13_PMB_50_E!$G$7</f>
        <v>32358</v>
      </c>
      <c r="J29" s="239">
        <f>[3]D13_PMB_50_E!$G$8</f>
        <v>41685</v>
      </c>
      <c r="K29" s="283">
        <v>3.64</v>
      </c>
      <c r="L29" s="293">
        <f t="shared" si="8"/>
        <v>1.9944388360532106</v>
      </c>
      <c r="M29" s="294">
        <f t="shared" si="9"/>
        <v>4.5199854133927033</v>
      </c>
      <c r="N29" s="294">
        <f t="shared" si="12"/>
        <v>4.5099816706718059</v>
      </c>
      <c r="O29" s="295">
        <f t="shared" si="10"/>
        <v>4.6199798058330535</v>
      </c>
      <c r="Q29" s="18" t="s">
        <v>13</v>
      </c>
      <c r="R29" s="6">
        <f>INTERCEPT(M27:M31,$L27:$L31)</f>
        <v>9.9313014543349798</v>
      </c>
      <c r="S29" s="6">
        <f>INTERCEPT(N27:N31,$L27:$L31)</f>
        <v>9.9932308465759014</v>
      </c>
      <c r="T29" s="46">
        <f>INTERCEPT(O27:O31,$L27:$L31)</f>
        <v>9.9583991089749482</v>
      </c>
    </row>
    <row r="30" spans="3:30" x14ac:dyDescent="0.3">
      <c r="C30" s="257" t="s">
        <v>202</v>
      </c>
      <c r="D30" s="276" t="s">
        <v>266</v>
      </c>
      <c r="E30" s="239">
        <f>[3]D18_PMB_50_E!$K$82</f>
        <v>12641.273999999999</v>
      </c>
      <c r="F30" s="258">
        <f>[3]D18_PMB_50_E!$B$6</f>
        <v>1000</v>
      </c>
      <c r="G30" s="240">
        <f>[3]D18_PMB_50_E!$G$5</f>
        <v>191.08899818587605</v>
      </c>
      <c r="H30" s="239">
        <f>[3]D18_PMB_50_E!$G$6</f>
        <v>5452</v>
      </c>
      <c r="I30" s="239">
        <f>[3]D18_PMB_50_E!$G$7</f>
        <v>4947</v>
      </c>
      <c r="J30" s="239">
        <f>[3]D18_PMB_50_E!$G$8</f>
        <v>6917</v>
      </c>
      <c r="K30" s="283">
        <v>4.29</v>
      </c>
      <c r="L30" s="293">
        <f t="shared" si="8"/>
        <v>2.2812356835766869</v>
      </c>
      <c r="M30" s="294">
        <f t="shared" si="9"/>
        <v>3.7365558471626361</v>
      </c>
      <c r="N30" s="294">
        <f t="shared" si="12"/>
        <v>3.694341910364181</v>
      </c>
      <c r="O30" s="295">
        <f t="shared" si="10"/>
        <v>3.8399177756786811</v>
      </c>
      <c r="Q30" s="19" t="s">
        <v>14</v>
      </c>
      <c r="R30" s="20">
        <f>10^R29</f>
        <v>8536924770.6418133</v>
      </c>
      <c r="S30" s="21">
        <f t="shared" ref="S30:T30" si="14">10^S29</f>
        <v>9845342898.8196468</v>
      </c>
      <c r="T30" s="22">
        <f t="shared" si="14"/>
        <v>9086551847.03829</v>
      </c>
    </row>
    <row r="31" spans="3:30" ht="16.2" thickBot="1" x14ac:dyDescent="0.35">
      <c r="C31" s="259" t="s">
        <v>216</v>
      </c>
      <c r="D31" s="296" t="s">
        <v>266</v>
      </c>
      <c r="E31" s="260">
        <f>[3]D19_PMB_50_E!$K$82</f>
        <v>19068.065999999999</v>
      </c>
      <c r="F31" s="262">
        <f>[3]D19_PMB_50_E!$B$6</f>
        <v>850</v>
      </c>
      <c r="G31" s="261">
        <f>[3]D19_PMB_50_E!$G$5</f>
        <v>102.01664292322781</v>
      </c>
      <c r="H31" s="260">
        <f>[3]D19_PMB_50_E!$G$6</f>
        <v>28509</v>
      </c>
      <c r="I31" s="260">
        <f>[3]D19_PMB_50_E!$G$7</f>
        <v>25901</v>
      </c>
      <c r="J31" s="260">
        <f>[3]D19_PMB_50_E!$G$8</f>
        <v>33239</v>
      </c>
      <c r="K31" s="289">
        <v>2.99</v>
      </c>
      <c r="L31" s="297">
        <f t="shared" si="8"/>
        <v>2.0086710280374942</v>
      </c>
      <c r="M31" s="298">
        <f t="shared" si="9"/>
        <v>4.4549819839843599</v>
      </c>
      <c r="N31" s="298">
        <f t="shared" si="12"/>
        <v>4.4133165318842655</v>
      </c>
      <c r="O31" s="299">
        <f t="shared" si="10"/>
        <v>4.5216479494979112</v>
      </c>
      <c r="Q31" s="19" t="s">
        <v>15</v>
      </c>
      <c r="R31" s="13">
        <f>SLOPE(M27:M31,$L27:$L31)</f>
        <v>-2.7437999482436592</v>
      </c>
      <c r="S31" s="13">
        <f>SLOPE(N27:N31,$L27:$L31)</f>
        <v>-2.7870908951550399</v>
      </c>
      <c r="T31" s="47">
        <f>SLOPE(O27:O31,$L27:$L31)</f>
        <v>-2.7126497370376086</v>
      </c>
    </row>
    <row r="32" spans="3:30" ht="16.2" thickBot="1" x14ac:dyDescent="0.35">
      <c r="Q32" s="30" t="s">
        <v>59</v>
      </c>
      <c r="R32" s="31">
        <f>10^((6-R29)/R31)</f>
        <v>27.089094765716354</v>
      </c>
      <c r="S32" s="26">
        <f>10^((6-S29)/S31)</f>
        <v>27.08690971907658</v>
      </c>
      <c r="T32" s="27">
        <f>10^((6-T29)/T31)</f>
        <v>28.789696738896637</v>
      </c>
      <c r="V32" s="140" t="s">
        <v>187</v>
      </c>
      <c r="W32" s="144">
        <f>R30*100^R31</f>
        <v>27778.037370831888</v>
      </c>
      <c r="X32" s="144">
        <f>S30*100^S31</f>
        <v>26245.149819503233</v>
      </c>
      <c r="Y32" s="145">
        <f>T30*100^T31</f>
        <v>34127.119634059585</v>
      </c>
    </row>
    <row r="33" spans="11:25" ht="16.2" thickBot="1" x14ac:dyDescent="0.35">
      <c r="V33" s="191" t="s">
        <v>298</v>
      </c>
      <c r="W33" s="144">
        <f>$R$6*250^$R$7</f>
        <v>1863.3906550818963</v>
      </c>
      <c r="X33" s="144">
        <f>$S$6*250^$S$7</f>
        <v>1796.0794876554744</v>
      </c>
      <c r="Y33" s="145">
        <f>$T$6*250^$T$7</f>
        <v>2478.1256477065422</v>
      </c>
    </row>
    <row r="43" spans="11:25" x14ac:dyDescent="0.3">
      <c r="K43" s="100"/>
    </row>
    <row r="65" spans="8:9" x14ac:dyDescent="0.3">
      <c r="H65">
        <v>100</v>
      </c>
      <c r="I65">
        <v>360</v>
      </c>
    </row>
    <row r="66" spans="8:9" x14ac:dyDescent="0.3">
      <c r="H66">
        <v>1000000</v>
      </c>
      <c r="I66">
        <v>80</v>
      </c>
    </row>
  </sheetData>
  <mergeCells count="5">
    <mergeCell ref="AB4:AD4"/>
    <mergeCell ref="AA13:AA14"/>
    <mergeCell ref="C4:C5"/>
    <mergeCell ref="D4:D5"/>
    <mergeCell ref="AA4:AA5"/>
  </mergeCells>
  <phoneticPr fontId="8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DDEB6-8BDA-41D6-8CAF-CE96CC37D2C2}">
  <dimension ref="B2:R48"/>
  <sheetViews>
    <sheetView showGridLines="0" topLeftCell="A37" zoomScaleNormal="100" workbookViewId="0">
      <selection activeCell="N52" sqref="N52"/>
    </sheetView>
  </sheetViews>
  <sheetFormatPr defaultRowHeight="14.4" x14ac:dyDescent="0.3"/>
  <cols>
    <col min="10" max="10" width="10" bestFit="1" customWidth="1"/>
    <col min="14" max="14" width="11.77734375" bestFit="1" customWidth="1"/>
  </cols>
  <sheetData>
    <row r="2" spans="2:16" ht="15" thickBot="1" x14ac:dyDescent="0.35"/>
    <row r="3" spans="2:16" ht="18" x14ac:dyDescent="0.3">
      <c r="B3" s="321" t="s">
        <v>0</v>
      </c>
      <c r="C3" s="323" t="s">
        <v>16</v>
      </c>
      <c r="D3" s="175" t="s">
        <v>1</v>
      </c>
      <c r="E3" s="175" t="s">
        <v>227</v>
      </c>
      <c r="F3" s="186" t="s">
        <v>54</v>
      </c>
      <c r="G3" s="175" t="s">
        <v>3</v>
      </c>
      <c r="H3" s="176" t="s">
        <v>4</v>
      </c>
      <c r="I3" s="175" t="s">
        <v>55</v>
      </c>
      <c r="J3" s="175" t="s">
        <v>6</v>
      </c>
      <c r="K3" s="176" t="s">
        <v>7</v>
      </c>
      <c r="L3" s="177" t="s">
        <v>228</v>
      </c>
    </row>
    <row r="4" spans="2:16" ht="15" thickBot="1" x14ac:dyDescent="0.35">
      <c r="B4" s="322"/>
      <c r="C4" s="324"/>
      <c r="D4" s="178" t="s">
        <v>8</v>
      </c>
      <c r="E4" s="178" t="s">
        <v>9</v>
      </c>
      <c r="F4" s="178" t="s">
        <v>10</v>
      </c>
      <c r="G4" s="178" t="s">
        <v>12</v>
      </c>
      <c r="H4" s="178" t="s">
        <v>12</v>
      </c>
      <c r="I4" s="178" t="s">
        <v>10</v>
      </c>
      <c r="J4" s="178" t="s">
        <v>12</v>
      </c>
      <c r="K4" s="178" t="s">
        <v>12</v>
      </c>
      <c r="L4" s="179" t="s">
        <v>11</v>
      </c>
    </row>
    <row r="5" spans="2:16" ht="15" thickBot="1" x14ac:dyDescent="0.35">
      <c r="B5" s="189" t="s">
        <v>236</v>
      </c>
      <c r="C5" s="2" t="s">
        <v>262</v>
      </c>
      <c r="D5" s="5">
        <f>[4]A1_PR_SP2_20_D!$J$66</f>
        <v>8799.7739999999994</v>
      </c>
      <c r="E5" s="2">
        <f>[4]A1_PR_SP2_20_D!$E$5</f>
        <v>1586</v>
      </c>
      <c r="F5" s="3">
        <f>[4]A1_PR_SP2_20_D!$E$4</f>
        <v>180.22800000000001</v>
      </c>
      <c r="G5" s="5">
        <f>[4]A1_PR_SP2_20_D!$E$6</f>
        <v>92612</v>
      </c>
      <c r="H5" s="5">
        <f>[4]A1_PR_SP2_20_D!$E$7</f>
        <v>90504</v>
      </c>
      <c r="I5" s="7">
        <f t="shared" ref="I5:K10" si="0">LOG10(F5)</f>
        <v>2.2558222633402916</v>
      </c>
      <c r="J5" s="7">
        <f t="shared" si="0"/>
        <v>4.9666672630980431</v>
      </c>
      <c r="K5" s="7">
        <f t="shared" si="0"/>
        <v>4.9566677741172258</v>
      </c>
      <c r="L5" s="166">
        <v>3.9364983300178902</v>
      </c>
    </row>
    <row r="6" spans="2:16" ht="16.2" thickBot="1" x14ac:dyDescent="0.35">
      <c r="B6" s="187" t="s">
        <v>237</v>
      </c>
      <c r="C6" s="9" t="s">
        <v>262</v>
      </c>
      <c r="D6" s="12">
        <f>[4]A3_PR_SP2_20_D!$J$66</f>
        <v>9720.2389999999996</v>
      </c>
      <c r="E6" s="9">
        <f>[4]A3_PR_SP2_20_D!$E$5</f>
        <v>1754</v>
      </c>
      <c r="F6" s="10">
        <f>[4]A3_PR_SP2_20_D!$E$4</f>
        <v>180.49100000000001</v>
      </c>
      <c r="G6" s="12">
        <f>[4]A3_PR_SP2_20_D!$E$6</f>
        <v>239884</v>
      </c>
      <c r="H6" s="12">
        <f>[4]A3_PR_SP2_20_D!$E$7</f>
        <v>206803</v>
      </c>
      <c r="I6" s="14">
        <f t="shared" si="0"/>
        <v>2.2564555511292892</v>
      </c>
      <c r="J6" s="14">
        <f t="shared" si="0"/>
        <v>5.3800012819676599</v>
      </c>
      <c r="K6" s="14">
        <f t="shared" si="0"/>
        <v>5.3155568345862934</v>
      </c>
      <c r="L6" s="153">
        <v>2.8138983680963014</v>
      </c>
      <c r="N6" s="180" t="s">
        <v>262</v>
      </c>
      <c r="O6" s="180" t="s">
        <v>3</v>
      </c>
      <c r="P6" s="185" t="s">
        <v>4</v>
      </c>
    </row>
    <row r="7" spans="2:16" ht="15.6" x14ac:dyDescent="0.3">
      <c r="B7" s="187" t="s">
        <v>238</v>
      </c>
      <c r="C7" s="9" t="s">
        <v>262</v>
      </c>
      <c r="D7" s="12">
        <f>[4]A4_PR_SP2_20_D!$J$66</f>
        <v>9777.8019999999997</v>
      </c>
      <c r="E7" s="9">
        <f>[4]A4_PR_SP2_20_D!$E$5</f>
        <v>1566</v>
      </c>
      <c r="F7" s="10">
        <f>[4]A4_PR_SP2_20_D!$E$4</f>
        <v>160.18100000000001</v>
      </c>
      <c r="G7" s="12">
        <f>[4]A4_PR_SP2_20_D!$E$6</f>
        <v>774264</v>
      </c>
      <c r="H7" s="12">
        <f>[4]A4_PR_SP2_20_D!$E$7</f>
        <v>866519</v>
      </c>
      <c r="I7" s="14">
        <f t="shared" si="0"/>
        <v>2.2046110006088826</v>
      </c>
      <c r="J7" s="14">
        <f t="shared" si="0"/>
        <v>5.8888890668770992</v>
      </c>
      <c r="K7" s="14">
        <f t="shared" si="0"/>
        <v>5.9377780898481927</v>
      </c>
      <c r="L7" s="153">
        <v>2.3938767427016727</v>
      </c>
      <c r="N7" s="172" t="s">
        <v>13</v>
      </c>
      <c r="O7" s="168">
        <f>INTERCEPT(J5:J10,$I5:$I10)</f>
        <v>20.587980770610745</v>
      </c>
      <c r="P7" s="46">
        <f>INTERCEPT(K5:K10,$I5:$I10)</f>
        <v>20.422439895077318</v>
      </c>
    </row>
    <row r="8" spans="2:16" x14ac:dyDescent="0.3">
      <c r="B8" s="187" t="s">
        <v>239</v>
      </c>
      <c r="C8" s="9" t="s">
        <v>262</v>
      </c>
      <c r="D8" s="12">
        <f>[4]A5_PR_SP2_20_D!$J$66</f>
        <v>10653.33</v>
      </c>
      <c r="E8" s="9">
        <f>[4]A5_PR_SP2_20_D!$E$5</f>
        <v>1703</v>
      </c>
      <c r="F8" s="10">
        <f>[4]A5_PR_SP2_20_D!$E$4</f>
        <v>159.82900000000001</v>
      </c>
      <c r="G8" s="12">
        <f>[4]A5_PR_SP2_20_D!$E$6</f>
        <v>624534</v>
      </c>
      <c r="H8" s="12">
        <f>[4]A5_PR_SP2_20_D!$E$7</f>
        <v>596425</v>
      </c>
      <c r="I8" s="14">
        <f t="shared" si="0"/>
        <v>2.20365558222018</v>
      </c>
      <c r="J8" s="14">
        <f t="shared" si="0"/>
        <v>5.7955560866019749</v>
      </c>
      <c r="K8" s="14">
        <f t="shared" si="0"/>
        <v>5.775555839231818</v>
      </c>
      <c r="L8" s="153">
        <v>2.3311514656641386</v>
      </c>
      <c r="N8" s="173" t="s">
        <v>14</v>
      </c>
      <c r="O8" s="169">
        <f>10^O7</f>
        <v>3.8724049857634258E+20</v>
      </c>
      <c r="P8" s="22">
        <f>10^P7</f>
        <v>2.6450865981376492E+20</v>
      </c>
    </row>
    <row r="9" spans="2:16" ht="15.6" x14ac:dyDescent="0.3">
      <c r="B9" s="187" t="s">
        <v>240</v>
      </c>
      <c r="C9" s="9" t="s">
        <v>262</v>
      </c>
      <c r="D9" s="12">
        <f>[4]A7_PR_SP2_20_D!$J$66</f>
        <v>9117.8629999999994</v>
      </c>
      <c r="E9" s="9">
        <f>[4]A7_PR_SP2_20_D!$E$5</f>
        <v>2266</v>
      </c>
      <c r="F9" s="10">
        <f>[4]A7_PR_SP2_20_D!$E$4</f>
        <v>248.51599999999999</v>
      </c>
      <c r="G9" s="12">
        <f>[4]A7_PR_SP2_20_D!$E$6</f>
        <v>25216</v>
      </c>
      <c r="H9" s="12">
        <f>[4]A7_PR_SP2_20_D!$E$7</f>
        <v>25216</v>
      </c>
      <c r="I9" s="14">
        <f t="shared" si="0"/>
        <v>2.3953543547917615</v>
      </c>
      <c r="J9" s="14">
        <f t="shared" si="0"/>
        <v>4.4016761958094612</v>
      </c>
      <c r="K9" s="14">
        <f t="shared" si="0"/>
        <v>4.4016761958094612</v>
      </c>
      <c r="L9" s="153">
        <v>3.1325124380995994</v>
      </c>
      <c r="N9" s="173" t="s">
        <v>15</v>
      </c>
      <c r="O9" s="170">
        <f>SLOPE(J5:J10,$I5:$I10)</f>
        <v>-6.7824304580686761</v>
      </c>
      <c r="P9" s="47">
        <f>SLOPE(K5:K10,$I5:$I10)</f>
        <v>-6.7174295948999463</v>
      </c>
    </row>
    <row r="10" spans="2:16" ht="16.2" thickBot="1" x14ac:dyDescent="0.35">
      <c r="B10" s="188" t="s">
        <v>241</v>
      </c>
      <c r="C10" s="23" t="s">
        <v>262</v>
      </c>
      <c r="D10" s="26">
        <f>[4]A8_PR_SP2_20_D!$J$66</f>
        <v>9604.3430000000008</v>
      </c>
      <c r="E10" s="23">
        <f>[4]A8_PR_SP2_20_D!$E$5</f>
        <v>1536</v>
      </c>
      <c r="F10" s="24">
        <f>[4]A8_PR_SP2_20_D!$E$4</f>
        <v>159.93100000000001</v>
      </c>
      <c r="G10" s="26">
        <f>[4]A8_PR_SP2_20_D!$E$6</f>
        <v>249907</v>
      </c>
      <c r="H10" s="26">
        <f>[4]A8_PR_SP2_20_D!$E$7</f>
        <v>213250</v>
      </c>
      <c r="I10" s="28">
        <f t="shared" si="0"/>
        <v>2.2039326527646925</v>
      </c>
      <c r="J10" s="28">
        <f t="shared" si="0"/>
        <v>5.3977784210676116</v>
      </c>
      <c r="K10" s="28">
        <f t="shared" si="0"/>
        <v>5.3288890398395603</v>
      </c>
      <c r="L10" s="155">
        <v>3.0882668763155818</v>
      </c>
      <c r="N10" s="184" t="s">
        <v>59</v>
      </c>
      <c r="O10" s="143">
        <f>10^((6-O7)/O9)</f>
        <v>141.53001673447932</v>
      </c>
      <c r="P10" s="27">
        <f>10^((6-P7)/P9)</f>
        <v>140.28707131955088</v>
      </c>
    </row>
    <row r="11" spans="2:16" x14ac:dyDescent="0.3">
      <c r="B11" s="189" t="s">
        <v>229</v>
      </c>
      <c r="C11" s="2" t="s">
        <v>263</v>
      </c>
      <c r="D11" s="5">
        <f>[5]B1_PR_PMB_20_D!$J$66</f>
        <v>9353.0210000000006</v>
      </c>
      <c r="E11" s="2">
        <f>[5]B1_PR_PMB_20_D!$E$5</f>
        <v>1674</v>
      </c>
      <c r="F11" s="3">
        <f>[5]B1_PR_PMB_20_D!$E$4</f>
        <v>178.98</v>
      </c>
      <c r="G11" s="5">
        <f>[5]B1_PR_PMB_20_D!$E$6</f>
        <v>1196129</v>
      </c>
      <c r="H11" s="5">
        <f>[5]B1_PR_PMB_20_D!$E$7</f>
        <v>1430723</v>
      </c>
      <c r="I11" s="7">
        <f t="shared" ref="I11:K16" si="1">LOG10(F11)</f>
        <v>2.2528045037457063</v>
      </c>
      <c r="J11" s="7">
        <f t="shared" si="1"/>
        <v>6.0777780199258222</v>
      </c>
      <c r="K11" s="7">
        <f t="shared" si="1"/>
        <v>6.1555555588357791</v>
      </c>
      <c r="L11" s="166">
        <v>2.508102365452447</v>
      </c>
    </row>
    <row r="12" spans="2:16" ht="15" thickBot="1" x14ac:dyDescent="0.35">
      <c r="B12" s="187" t="s">
        <v>230</v>
      </c>
      <c r="C12" s="9" t="s">
        <v>263</v>
      </c>
      <c r="D12" s="12">
        <f>[5]B2_PR_PMB_20_D!$J$66</f>
        <v>8010.7669999999998</v>
      </c>
      <c r="E12" s="9">
        <f>[5]B2_PR_PMB_20_D!$E$5</f>
        <v>1442</v>
      </c>
      <c r="F12" s="10">
        <f>[5]B2_PR_PMB_20_D!$E$4</f>
        <v>179.983</v>
      </c>
      <c r="G12" s="12">
        <f>[5]B2_PR_PMB_20_D!$E$6</f>
        <v>1196129</v>
      </c>
      <c r="H12" s="12">
        <f>[5]B2_PR_PMB_20_D!$E$7</f>
        <v>1165915</v>
      </c>
      <c r="I12" s="14">
        <f t="shared" si="1"/>
        <v>2.2552314864652159</v>
      </c>
      <c r="J12" s="14">
        <f t="shared" si="1"/>
        <v>6.0777780199258222</v>
      </c>
      <c r="K12" s="14">
        <f t="shared" si="1"/>
        <v>6.0666668897226881</v>
      </c>
      <c r="L12" s="153">
        <v>2.7942105880040091</v>
      </c>
    </row>
    <row r="13" spans="2:16" ht="16.2" thickBot="1" x14ac:dyDescent="0.35">
      <c r="B13" s="187" t="s">
        <v>231</v>
      </c>
      <c r="C13" s="9" t="s">
        <v>263</v>
      </c>
      <c r="D13" s="12">
        <f>[5]B4_PR_PMB_20_D!$J$66</f>
        <v>5982.6909999999998</v>
      </c>
      <c r="E13" s="9">
        <f>[5]B4_PR_PMB_20_D!$E$5</f>
        <v>1184</v>
      </c>
      <c r="F13" s="10">
        <f>[5]B4_PR_PMB_20_D!$E$4</f>
        <v>197.93799999999999</v>
      </c>
      <c r="G13" s="12">
        <f>[5]B4_PR_PMB_20_D!$E$6</f>
        <v>2282093</v>
      </c>
      <c r="H13" s="12">
        <f>[5]B4_PR_PMB_20_D!$E$7</f>
        <v>2356255</v>
      </c>
      <c r="I13" s="14">
        <f t="shared" si="1"/>
        <v>2.2965291777641297</v>
      </c>
      <c r="J13" s="14">
        <f t="shared" si="1"/>
        <v>6.3583333388393521</v>
      </c>
      <c r="K13" s="14">
        <f t="shared" si="1"/>
        <v>6.3722222891286924</v>
      </c>
      <c r="L13" s="153">
        <v>2.9338047775182008</v>
      </c>
      <c r="N13" s="172" t="s">
        <v>263</v>
      </c>
      <c r="O13" s="182" t="s">
        <v>3</v>
      </c>
      <c r="P13" s="183" t="s">
        <v>4</v>
      </c>
    </row>
    <row r="14" spans="2:16" ht="15.6" x14ac:dyDescent="0.3">
      <c r="B14" s="187" t="s">
        <v>232</v>
      </c>
      <c r="C14" s="9" t="s">
        <v>263</v>
      </c>
      <c r="D14" s="12">
        <f>[5]B5_PR_PMB_20_D!$J$66</f>
        <v>7027.848</v>
      </c>
      <c r="E14" s="9">
        <f>[5]B5_PR_PMB_20_D!$E$5</f>
        <v>1831</v>
      </c>
      <c r="F14" s="10">
        <f>[5]B5_PR_PMB_20_D!$E$4</f>
        <v>260.56</v>
      </c>
      <c r="G14" s="12">
        <f>[5]B5_PR_PMB_20_D!$E$6</f>
        <v>400150</v>
      </c>
      <c r="H14" s="12">
        <f>[5]B5_PR_PMB_20_D!$E$7</f>
        <v>806616</v>
      </c>
      <c r="I14" s="14">
        <f t="shared" si="1"/>
        <v>2.4159077455568165</v>
      </c>
      <c r="J14" s="14">
        <f t="shared" si="1"/>
        <v>5.6022228212299776</v>
      </c>
      <c r="K14" s="14">
        <f t="shared" si="1"/>
        <v>5.9066668324035518</v>
      </c>
      <c r="L14" s="153">
        <v>3.0965497529804376</v>
      </c>
      <c r="N14" s="172" t="s">
        <v>13</v>
      </c>
      <c r="O14" s="168">
        <f>INTERCEPT(J11:J17,$I11:$I17)</f>
        <v>18.726222526988185</v>
      </c>
      <c r="P14" s="46">
        <f>INTERCEPT(K11:K17,$I11:$I17)</f>
        <v>17.247567683829296</v>
      </c>
    </row>
    <row r="15" spans="2:16" x14ac:dyDescent="0.3">
      <c r="B15" s="187" t="s">
        <v>233</v>
      </c>
      <c r="C15" s="9" t="s">
        <v>263</v>
      </c>
      <c r="D15" s="12">
        <f>[5]B6_PR_PMB_20_D!$J$66</f>
        <v>9032.9850000000006</v>
      </c>
      <c r="E15" s="9">
        <f>[5]B6_PR_PMB_20_D!$E$5</f>
        <v>2526</v>
      </c>
      <c r="F15" s="10">
        <f>[5]B6_PR_PMB_20_D!$E$4</f>
        <v>279.63200000000001</v>
      </c>
      <c r="G15" s="12">
        <f>[5]B6_PR_PMB_20_D!$E$6</f>
        <v>78223</v>
      </c>
      <c r="H15" s="12">
        <f>[5]B6_PR_PMB_20_D!$E$7</f>
        <v>97724</v>
      </c>
      <c r="I15" s="14">
        <f t="shared" si="1"/>
        <v>2.4465868688912655</v>
      </c>
      <c r="J15" s="14">
        <f>LOG10(G15)</f>
        <v>4.8933344679503152</v>
      </c>
      <c r="K15" s="14">
        <f>LOG10(H15)</f>
        <v>4.9900012350346614</v>
      </c>
      <c r="L15" s="153">
        <v>2.5372927158200165</v>
      </c>
      <c r="N15" s="173" t="s">
        <v>14</v>
      </c>
      <c r="O15" s="169">
        <f>10^O14</f>
        <v>5.3238097465677742E+18</v>
      </c>
      <c r="P15" s="22">
        <f>10^P14</f>
        <v>1.7683477893309766E+17</v>
      </c>
    </row>
    <row r="16" spans="2:16" ht="15.6" x14ac:dyDescent="0.3">
      <c r="B16" s="187" t="s">
        <v>234</v>
      </c>
      <c r="C16" s="9" t="s">
        <v>263</v>
      </c>
      <c r="D16" s="12">
        <f>[5]B7_PR_PMB_20_D!$J$66</f>
        <v>7903.6790000000001</v>
      </c>
      <c r="E16" s="9">
        <f>[5]B7_PR_PMB_20_D!$E$5</f>
        <v>2694</v>
      </c>
      <c r="F16" s="10">
        <f>[5]B7_PR_PMB_20_D!$E$4</f>
        <v>340.91300000000001</v>
      </c>
      <c r="G16" s="12">
        <f>[5]B7_PR_PMB_20_D!$E$6</f>
        <v>18198</v>
      </c>
      <c r="H16" s="12">
        <f>[5]B7_PR_PMB_20_D!$E$7</f>
        <v>17114</v>
      </c>
      <c r="I16" s="14">
        <f t="shared" si="1"/>
        <v>2.5326435624510015</v>
      </c>
      <c r="J16" s="14">
        <f>LOG10(G16)</f>
        <v>4.2600236606943067</v>
      </c>
      <c r="K16" s="14">
        <f t="shared" si="1"/>
        <v>4.2333515276532747</v>
      </c>
      <c r="L16" s="153">
        <v>2.6403220136138938</v>
      </c>
      <c r="N16" s="173" t="s">
        <v>15</v>
      </c>
      <c r="O16" s="170">
        <f>SLOPE(J11:J17,$I11:$I17)</f>
        <v>-5.5340416879032963</v>
      </c>
      <c r="P16" s="47">
        <f>SLOPE(K11:K17,$I11:$I17)</f>
        <v>-4.8594336179180617</v>
      </c>
    </row>
    <row r="17" spans="2:16" ht="16.2" thickBot="1" x14ac:dyDescent="0.35">
      <c r="B17" s="188" t="s">
        <v>235</v>
      </c>
      <c r="C17" s="23" t="s">
        <v>263</v>
      </c>
      <c r="D17" s="26">
        <f>[5]B8_PR_PMB_20_D!$J$66</f>
        <v>6656.9949999999999</v>
      </c>
      <c r="E17" s="23">
        <f>[5]B8_PR_PMB_20_D!$E$5</f>
        <v>2136</v>
      </c>
      <c r="F17" s="24">
        <f>[5]B8_PR_PMB_20_D!$E$4</f>
        <v>320.86799999999999</v>
      </c>
      <c r="G17" s="26">
        <f>[5]B8_PR_PMB_20_D!$E$6</f>
        <v>230262</v>
      </c>
      <c r="H17" s="26">
        <f>[5]B8_PR_PMB_20_D!$E$7</f>
        <v>670914</v>
      </c>
      <c r="I17" s="28">
        <f>LOG10(F17)</f>
        <v>2.5063264072906137</v>
      </c>
      <c r="J17" s="28">
        <f>LOG10(G17)</f>
        <v>5.3622222725191886</v>
      </c>
      <c r="K17" s="28">
        <f>LOG10(H17)</f>
        <v>5.8266668544176925</v>
      </c>
      <c r="L17" s="155">
        <v>2.8051361825826682</v>
      </c>
      <c r="N17" s="184" t="s">
        <v>59</v>
      </c>
      <c r="O17" s="143">
        <f>10^((6-O14)/O16)</f>
        <v>199.35417952418766</v>
      </c>
      <c r="P17" s="27">
        <f>10^((6-P14)/P16)</f>
        <v>206.34031003934925</v>
      </c>
    </row>
    <row r="18" spans="2:16" ht="15" thickBot="1" x14ac:dyDescent="0.35">
      <c r="B18" s="189" t="s">
        <v>242</v>
      </c>
      <c r="C18" s="2" t="s">
        <v>264</v>
      </c>
      <c r="D18" s="5">
        <v>9579.4639999999999</v>
      </c>
      <c r="E18" s="2">
        <v>1729</v>
      </c>
      <c r="F18" s="3">
        <v>180.49</v>
      </c>
      <c r="G18" s="5">
        <v>73565</v>
      </c>
      <c r="H18" s="5">
        <v>75858</v>
      </c>
      <c r="I18" s="7">
        <v>2.2564531449390359</v>
      </c>
      <c r="J18" s="7">
        <v>4.8666712393073874</v>
      </c>
      <c r="K18" s="7">
        <v>4.8800013883217694</v>
      </c>
      <c r="L18" s="166">
        <v>3.1466211704902047</v>
      </c>
    </row>
    <row r="19" spans="2:16" ht="16.2" thickBot="1" x14ac:dyDescent="0.35">
      <c r="B19" s="187" t="s">
        <v>243</v>
      </c>
      <c r="C19" s="9" t="s">
        <v>264</v>
      </c>
      <c r="D19" s="12">
        <v>8081.0569999999998</v>
      </c>
      <c r="E19" s="9">
        <v>1621</v>
      </c>
      <c r="F19" s="10">
        <v>200.608</v>
      </c>
      <c r="G19" s="12">
        <v>348516</v>
      </c>
      <c r="H19" s="12">
        <v>402203</v>
      </c>
      <c r="I19" s="14">
        <v>2.3023482481588649</v>
      </c>
      <c r="J19" s="14">
        <v>5.5422227208908543</v>
      </c>
      <c r="K19" s="14">
        <v>5.6044453056406001</v>
      </c>
      <c r="L19" s="153">
        <v>3.5351017329949497</v>
      </c>
      <c r="N19" s="180" t="s">
        <v>264</v>
      </c>
      <c r="O19" s="180" t="s">
        <v>3</v>
      </c>
      <c r="P19" s="185" t="s">
        <v>4</v>
      </c>
    </row>
    <row r="20" spans="2:16" ht="15.6" x14ac:dyDescent="0.3">
      <c r="B20" s="187" t="s">
        <v>244</v>
      </c>
      <c r="C20" s="9" t="s">
        <v>264</v>
      </c>
      <c r="D20" s="12">
        <v>7285.0219999999999</v>
      </c>
      <c r="E20" s="9">
        <v>1086</v>
      </c>
      <c r="F20" s="10">
        <v>149.072</v>
      </c>
      <c r="G20" s="12">
        <v>425490</v>
      </c>
      <c r="H20" s="12">
        <v>423318</v>
      </c>
      <c r="I20" s="14">
        <v>2.1733960781448567</v>
      </c>
      <c r="J20" s="14">
        <v>5.6288893576148409</v>
      </c>
      <c r="K20" s="14">
        <v>5.6266667356000939</v>
      </c>
      <c r="L20" s="153">
        <v>3.4823424694214511</v>
      </c>
      <c r="N20" s="172" t="s">
        <v>13</v>
      </c>
      <c r="O20" s="168">
        <f>INTERCEPT(J18:J24,$I18:$I24)</f>
        <v>14.882478705605617</v>
      </c>
      <c r="P20" s="46">
        <f>INTERCEPT(K18:K24,$I18:$I24)</f>
        <v>13.814333430861144</v>
      </c>
    </row>
    <row r="21" spans="2:16" x14ac:dyDescent="0.3">
      <c r="B21" s="187" t="s">
        <v>245</v>
      </c>
      <c r="C21" s="9" t="s">
        <v>264</v>
      </c>
      <c r="D21" s="12">
        <v>7968.5429999999997</v>
      </c>
      <c r="E21" s="9">
        <v>1435</v>
      </c>
      <c r="F21" s="10">
        <v>180.03399999999999</v>
      </c>
      <c r="G21" s="12">
        <v>473757</v>
      </c>
      <c r="H21" s="12">
        <v>624534</v>
      </c>
      <c r="I21" s="14">
        <v>2.2553545307588196</v>
      </c>
      <c r="J21" s="14">
        <v>5.6755556399448128</v>
      </c>
      <c r="K21" s="14">
        <v>5.7955560866019749</v>
      </c>
      <c r="L21" s="153">
        <v>3.2512453250707951</v>
      </c>
      <c r="N21" s="173" t="s">
        <v>14</v>
      </c>
      <c r="O21" s="169">
        <f>10^O20</f>
        <v>762919482658052.25</v>
      </c>
      <c r="P21" s="22">
        <f>10^P20</f>
        <v>65212887576849.078</v>
      </c>
    </row>
    <row r="22" spans="2:16" ht="15.6" x14ac:dyDescent="0.3">
      <c r="B22" s="187" t="s">
        <v>299</v>
      </c>
      <c r="C22" s="9" t="s">
        <v>264</v>
      </c>
      <c r="D22" s="12">
        <v>9221.7090000000007</v>
      </c>
      <c r="E22" s="9">
        <v>1475</v>
      </c>
      <c r="F22" s="10">
        <v>159.995</v>
      </c>
      <c r="G22" s="12">
        <v>1385692</v>
      </c>
      <c r="H22" s="12">
        <v>2326306</v>
      </c>
      <c r="I22" s="14">
        <v>2.2041064107413031</v>
      </c>
      <c r="J22" s="14">
        <v>6.1416667096660111</v>
      </c>
      <c r="K22" s="14">
        <v>6.3666668408183531</v>
      </c>
      <c r="L22" s="153">
        <v>3.680708936025634</v>
      </c>
      <c r="N22" s="173" t="s">
        <v>15</v>
      </c>
      <c r="O22" s="170">
        <f>SLOPE(J18:J24,$I18:$I24)</f>
        <v>-4.1626788866395232</v>
      </c>
      <c r="P22" s="47">
        <f>SLOPE(K18:K24,$I18:$I24)</f>
        <v>-3.6458315693175187</v>
      </c>
    </row>
    <row r="23" spans="2:16" ht="16.2" thickBot="1" x14ac:dyDescent="0.35">
      <c r="B23" s="187" t="s">
        <v>246</v>
      </c>
      <c r="C23" s="9" t="s">
        <v>264</v>
      </c>
      <c r="D23" s="12">
        <v>8448.9330000000009</v>
      </c>
      <c r="E23" s="9">
        <v>2198</v>
      </c>
      <c r="F23" s="10">
        <v>260.14400000000001</v>
      </c>
      <c r="G23" s="12">
        <v>66070</v>
      </c>
      <c r="H23" s="12">
        <v>91202</v>
      </c>
      <c r="I23" s="14">
        <v>2.415213813714888</v>
      </c>
      <c r="J23" s="14">
        <v>4.8200043068083183</v>
      </c>
      <c r="K23" s="14">
        <v>4.9600043622257841</v>
      </c>
      <c r="L23" s="153">
        <v>3.643026325401566</v>
      </c>
      <c r="N23" s="184" t="s">
        <v>59</v>
      </c>
      <c r="O23" s="143">
        <f>10^((6-O20)/O22)</f>
        <v>136.09341590316868</v>
      </c>
      <c r="P23" s="27">
        <f>10^((6-P20)/P22)</f>
        <v>139.11086907109313</v>
      </c>
    </row>
    <row r="24" spans="2:16" ht="15" thickBot="1" x14ac:dyDescent="0.35">
      <c r="B24" s="188" t="s">
        <v>247</v>
      </c>
      <c r="C24" s="23" t="s">
        <v>264</v>
      </c>
      <c r="D24" s="26">
        <v>8404.5429999999997</v>
      </c>
      <c r="E24" s="23">
        <v>2348</v>
      </c>
      <c r="F24" s="24">
        <v>279.41699999999997</v>
      </c>
      <c r="G24" s="23">
        <v>47680</v>
      </c>
      <c r="H24" s="23">
        <v>87097</v>
      </c>
      <c r="I24" s="28">
        <v>2.4462528254774942</v>
      </c>
      <c r="J24" s="28">
        <v>4.6783362467321803</v>
      </c>
      <c r="K24" s="28">
        <v>4.9400031962719115</v>
      </c>
      <c r="L24" s="155">
        <v>2.9037696820873427</v>
      </c>
    </row>
    <row r="25" spans="2:16" ht="15" thickBot="1" x14ac:dyDescent="0.35">
      <c r="B25" s="189" t="s">
        <v>248</v>
      </c>
      <c r="C25" s="2" t="s">
        <v>265</v>
      </c>
      <c r="D25" s="5">
        <f>[6]C1_PR_SP2_50_D!$J$66</f>
        <v>9654.3169999999991</v>
      </c>
      <c r="E25" s="2">
        <f>[6]C1_PR_SP2_50_D!$E$5</f>
        <v>1735</v>
      </c>
      <c r="F25" s="3">
        <f>[6]C1_PR_SP2_50_D!$E$4</f>
        <v>179.72900000000001</v>
      </c>
      <c r="G25" s="5">
        <f>[6]C1_PR_SP2_50_D!$E$6</f>
        <v>1250899</v>
      </c>
      <c r="H25" s="5">
        <f>[6]C1_PR_SP2_50_D!$E$7</f>
        <v>1350690</v>
      </c>
      <c r="I25" s="7">
        <f t="shared" ref="I25:K28" si="2">LOG10(F25)</f>
        <v>2.2546181579316262</v>
      </c>
      <c r="J25" s="7">
        <f t="shared" si="2"/>
        <v>6.0972222453341507</v>
      </c>
      <c r="K25" s="7">
        <f t="shared" si="2"/>
        <v>6.1305556845231575</v>
      </c>
      <c r="L25" s="166">
        <v>3.4248152535395704</v>
      </c>
    </row>
    <row r="26" spans="2:16" ht="16.2" thickBot="1" x14ac:dyDescent="0.35">
      <c r="B26" s="187" t="s">
        <v>249</v>
      </c>
      <c r="C26" s="9" t="s">
        <v>265</v>
      </c>
      <c r="D26" s="12">
        <f>[6]C2_PR_SP2_50_D!$J$66</f>
        <v>8230.4840000000004</v>
      </c>
      <c r="E26" s="9">
        <f>[6]C2_PR_SP2_50_D!$E$5</f>
        <v>1474</v>
      </c>
      <c r="F26" s="10">
        <f>[6]C2_PR_SP2_50_D!$E$4</f>
        <v>179.09399999999999</v>
      </c>
      <c r="G26" s="12">
        <f>[6]C2_PR_SP2_50_D!$E$6</f>
        <v>81910</v>
      </c>
      <c r="H26" s="12">
        <f>[6]C2_PR_SP2_50_D!$E$7</f>
        <v>62614</v>
      </c>
      <c r="I26" s="14">
        <f t="shared" si="2"/>
        <v>2.2530810363764457</v>
      </c>
      <c r="J26" s="14">
        <f t="shared" si="2"/>
        <v>4.9133369259326232</v>
      </c>
      <c r="K26" s="14">
        <f t="shared" si="2"/>
        <v>4.7966714489126989</v>
      </c>
      <c r="L26" s="153">
        <v>3.4981729327607791</v>
      </c>
      <c r="N26" s="180" t="s">
        <v>265</v>
      </c>
      <c r="O26" s="180" t="s">
        <v>3</v>
      </c>
      <c r="P26" s="185" t="s">
        <v>4</v>
      </c>
    </row>
    <row r="27" spans="2:16" ht="15.6" x14ac:dyDescent="0.3">
      <c r="B27" s="187" t="s">
        <v>260</v>
      </c>
      <c r="C27" s="9" t="s">
        <v>265</v>
      </c>
      <c r="D27" s="12">
        <f>[6]C3_PR_SP2_50_D!$J$66</f>
        <v>10699.788</v>
      </c>
      <c r="E27" s="9">
        <f>[6]C3_PR_SP2_50_D!$E$5</f>
        <v>2142</v>
      </c>
      <c r="F27" s="10">
        <f>[6]C3_PR_SP2_50_D!$E$4</f>
        <v>200.19399999999999</v>
      </c>
      <c r="G27" s="12">
        <f>[6]C3_PR_SP2_50_D!$E$6</f>
        <v>189574</v>
      </c>
      <c r="H27" s="12">
        <f>[6]C3_PR_SP2_50_D!$E$7</f>
        <v>181971</v>
      </c>
      <c r="I27" s="14">
        <f t="shared" si="2"/>
        <v>2.3014510571296154</v>
      </c>
      <c r="J27" s="14">
        <f t="shared" si="2"/>
        <v>5.2777787737677793</v>
      </c>
      <c r="K27" s="14">
        <f t="shared" si="2"/>
        <v>5.2600021817021467</v>
      </c>
      <c r="L27" s="153">
        <v>3.321842695806454</v>
      </c>
      <c r="N27" s="172" t="s">
        <v>13</v>
      </c>
      <c r="O27" s="168">
        <f>INTERCEPT(J25:J31,$I25:$I31)</f>
        <v>21.463902116677158</v>
      </c>
      <c r="P27" s="46">
        <f>INTERCEPT(K25:K31,$I25:$I31)</f>
        <v>22.391724656162225</v>
      </c>
    </row>
    <row r="28" spans="2:16" x14ac:dyDescent="0.3">
      <c r="B28" s="187" t="s">
        <v>250</v>
      </c>
      <c r="C28" s="9" t="s">
        <v>265</v>
      </c>
      <c r="D28" s="12">
        <f>[6]C4_PR_SP2_50_D!$J$66</f>
        <v>13253.081</v>
      </c>
      <c r="E28" s="9">
        <f>[6]C4_PR_SP2_50_D!$E$5</f>
        <v>2123</v>
      </c>
      <c r="F28" s="10">
        <f>[6]C4_PR_SP2_50_D!$E$4</f>
        <v>160.18</v>
      </c>
      <c r="G28" s="12">
        <f>[6]C4_PR_SP2_50_D!$E$6</f>
        <v>1072891</v>
      </c>
      <c r="H28" s="12">
        <f>[6]C4_PR_SP2_50_D!$E$7</f>
        <v>1165915</v>
      </c>
      <c r="I28" s="14">
        <f t="shared" si="2"/>
        <v>2.2046082893270356</v>
      </c>
      <c r="J28" s="14">
        <f t="shared" si="2"/>
        <v>6.0305556022053777</v>
      </c>
      <c r="K28" s="14">
        <f t="shared" si="2"/>
        <v>6.0666668897226881</v>
      </c>
      <c r="L28" s="153">
        <v>3.2850700472900396</v>
      </c>
      <c r="N28" s="173" t="s">
        <v>14</v>
      </c>
      <c r="O28" s="169">
        <f>10^O27</f>
        <v>2.9100611609444268E+21</v>
      </c>
      <c r="P28" s="22">
        <f>10^P27</f>
        <v>2.4644763573616502E+22</v>
      </c>
    </row>
    <row r="29" spans="2:16" ht="15.6" x14ac:dyDescent="0.3">
      <c r="B29" s="187" t="s">
        <v>251</v>
      </c>
      <c r="C29" s="9" t="s">
        <v>265</v>
      </c>
      <c r="D29" s="12">
        <f>[6]C6_PR_SP2_50_D!$J$66</f>
        <v>9187.2060000000001</v>
      </c>
      <c r="E29" s="9">
        <f>[6]C6_PR_SP2_50_D!$E$5</f>
        <v>1924</v>
      </c>
      <c r="F29" s="10">
        <f>[6]C6_PR_SP2_50_D!$E$4</f>
        <v>209.398</v>
      </c>
      <c r="G29" s="12">
        <f>[6]C6_PR_SP2_50_D!$E$6</f>
        <v>96977</v>
      </c>
      <c r="H29" s="12">
        <f>[6]C6_PR_SP2_50_D!$E$7</f>
        <v>91202</v>
      </c>
      <c r="I29" s="14">
        <f t="shared" ref="I29:K31" si="3">LOG10(F29)</f>
        <v>2.3209725293336936</v>
      </c>
      <c r="J29" s="14">
        <f t="shared" si="3"/>
        <v>4.9866687450135956</v>
      </c>
      <c r="K29" s="14">
        <f t="shared" si="3"/>
        <v>4.9600043622257841</v>
      </c>
      <c r="L29" s="153">
        <v>3.1856510383725167</v>
      </c>
      <c r="N29" s="173" t="s">
        <v>15</v>
      </c>
      <c r="O29" s="170">
        <f>SLOPE(J25:J31,$I25:$I31)</f>
        <v>-7.0532919711619133</v>
      </c>
      <c r="P29" s="47">
        <f>SLOPE(K25:K31,$I25:$I31)</f>
        <v>-7.4697782142708036</v>
      </c>
    </row>
    <row r="30" spans="2:16" ht="16.2" thickBot="1" x14ac:dyDescent="0.35">
      <c r="B30" s="187" t="s">
        <v>252</v>
      </c>
      <c r="C30" s="9" t="s">
        <v>265</v>
      </c>
      <c r="D30" s="12">
        <f>[6]C7_PR_SP2_50_D!$J$66</f>
        <v>11348.945</v>
      </c>
      <c r="E30" s="9">
        <f>[6]C7_PR_SP2_50_D!$E$5</f>
        <v>2556</v>
      </c>
      <c r="F30" s="10">
        <f>[6]C7_PR_SP2_50_D!$E$4</f>
        <v>225.18700000000001</v>
      </c>
      <c r="G30" s="12">
        <f>[6]C7_PR_SP2_50_D!$E$6</f>
        <v>99236</v>
      </c>
      <c r="H30" s="12">
        <f>[6]C7_PR_SP2_50_D!$E$7</f>
        <v>85442</v>
      </c>
      <c r="I30" s="14">
        <f t="shared" si="3"/>
        <v>2.3525433151703039</v>
      </c>
      <c r="J30" s="14">
        <f t="shared" si="3"/>
        <v>4.9966692504315082</v>
      </c>
      <c r="K30" s="14">
        <f t="shared" si="3"/>
        <v>4.9316714056348312</v>
      </c>
      <c r="L30" s="153">
        <v>3.4812667004904596</v>
      </c>
      <c r="N30" s="184" t="s">
        <v>59</v>
      </c>
      <c r="O30" s="143">
        <f>10^((6-O27)/O29)</f>
        <v>155.75340244315467</v>
      </c>
      <c r="P30" s="27">
        <f>10^((6-P27)/P29)</f>
        <v>156.46089219497159</v>
      </c>
    </row>
    <row r="31" spans="2:16" ht="15" thickBot="1" x14ac:dyDescent="0.35">
      <c r="B31" s="188" t="s">
        <v>253</v>
      </c>
      <c r="C31" s="23" t="s">
        <v>265</v>
      </c>
      <c r="D31" s="26">
        <f>[6]C8_PR_SP2_50_D!$J$66</f>
        <v>9919.4740000000002</v>
      </c>
      <c r="E31" s="23">
        <f>[6]C8_PR_SP2_50_D!$E$5</f>
        <v>1975</v>
      </c>
      <c r="F31" s="24">
        <f>[6]C8_PR_SP2_50_D!$E$4</f>
        <v>199.089</v>
      </c>
      <c r="G31" s="26">
        <f>[6]C8_PR_SP2_50_D!$E$6</f>
        <v>154486</v>
      </c>
      <c r="H31" s="26">
        <f>[6]C8_PR_SP2_50_D!$E$7</f>
        <v>152133</v>
      </c>
      <c r="I31" s="28">
        <f t="shared" si="3"/>
        <v>2.2990472651942917</v>
      </c>
      <c r="J31" s="28">
        <f t="shared" si="3"/>
        <v>5.1888891284324519</v>
      </c>
      <c r="K31" s="28">
        <f t="shared" si="3"/>
        <v>5.1822234294599987</v>
      </c>
      <c r="L31" s="155">
        <v>2.3921719220870385</v>
      </c>
    </row>
    <row r="32" spans="2:16" ht="16.2" thickBot="1" x14ac:dyDescent="0.35">
      <c r="B32" s="189" t="s">
        <v>254</v>
      </c>
      <c r="C32" s="2" t="s">
        <v>266</v>
      </c>
      <c r="D32" s="5">
        <f>[7]D1_PR_PMB_50_D!$J$66</f>
        <v>12727.454</v>
      </c>
      <c r="E32" s="2">
        <f>[7]D1_PR_PMB_50_D!$E$5</f>
        <v>2287</v>
      </c>
      <c r="F32" s="3">
        <f>[7]D1_PR_PMB_50_D!$E$4</f>
        <v>179.68</v>
      </c>
      <c r="G32" s="5">
        <f>[7]D1_PR_PMB_50_D!$E$6</f>
        <v>32994</v>
      </c>
      <c r="H32" s="5">
        <f>[7]D1_PR_PMB_50_D!$E$7</f>
        <v>27505</v>
      </c>
      <c r="I32" s="7">
        <f t="shared" ref="I32:K37" si="4">LOG10(F32)</f>
        <v>2.2544997389173824</v>
      </c>
      <c r="J32" s="7">
        <f t="shared" si="4"/>
        <v>4.5184349700655231</v>
      </c>
      <c r="K32" s="7">
        <f t="shared" si="4"/>
        <v>4.4394116492857849</v>
      </c>
      <c r="L32" s="166">
        <v>3.2450143168598733</v>
      </c>
      <c r="N32" s="180" t="s">
        <v>266</v>
      </c>
      <c r="O32" s="180" t="s">
        <v>3</v>
      </c>
      <c r="P32" s="185" t="s">
        <v>4</v>
      </c>
    </row>
    <row r="33" spans="2:18" ht="15.6" x14ac:dyDescent="0.3">
      <c r="B33" s="187" t="s">
        <v>255</v>
      </c>
      <c r="C33" s="9" t="s">
        <v>266</v>
      </c>
      <c r="D33" s="12">
        <f>[7]D2_PR_PMB_50_D!$J$66</f>
        <v>14216.197</v>
      </c>
      <c r="E33" s="9">
        <f>[7]D2_PR_PMB_50_D!$E$5</f>
        <v>2582</v>
      </c>
      <c r="F33" s="10">
        <f>[7]D2_PR_PMB_50_D!$E$4</f>
        <v>181.63</v>
      </c>
      <c r="G33" s="12">
        <f>[7]D2_PR_PMB_50_D!$E$6</f>
        <v>119613</v>
      </c>
      <c r="H33" s="12">
        <f>[7]D2_PR_PMB_50_D!$E$7</f>
        <v>139459</v>
      </c>
      <c r="I33" s="14">
        <f t="shared" si="4"/>
        <v>2.259187582942805</v>
      </c>
      <c r="J33" s="14">
        <f t="shared" si="4"/>
        <v>5.0777783830089849</v>
      </c>
      <c r="K33" s="14">
        <f t="shared" si="4"/>
        <v>5.1444465467427056</v>
      </c>
      <c r="L33" s="153">
        <v>3.0203111743343558</v>
      </c>
      <c r="N33" s="172" t="s">
        <v>13</v>
      </c>
      <c r="O33" s="168">
        <f>INTERCEPT(J32:J38,$I32:$I38)</f>
        <v>23.564347485465436</v>
      </c>
      <c r="P33" s="46">
        <f>INTERCEPT(K32:K38,$I32:$I38)</f>
        <v>22.660014210869747</v>
      </c>
    </row>
    <row r="34" spans="2:18" x14ac:dyDescent="0.3">
      <c r="B34" s="187" t="s">
        <v>256</v>
      </c>
      <c r="C34" s="9" t="s">
        <v>266</v>
      </c>
      <c r="D34" s="12">
        <f>[7]D3_PR_PMB_50_D!$J$66</f>
        <v>11355.434999999999</v>
      </c>
      <c r="E34" s="9">
        <f>[7]D3_PR_PMB_50_D!$E$5</f>
        <v>2662</v>
      </c>
      <c r="F34" s="10">
        <f>[7]D3_PR_PMB_50_D!$E$4</f>
        <v>234.387</v>
      </c>
      <c r="G34" s="12">
        <f>[7]D3_PR_PMB_50_D!$E$6</f>
        <v>18550</v>
      </c>
      <c r="H34" s="12">
        <f>[7]D3_PR_PMB_50_D!$E$7</f>
        <v>20496</v>
      </c>
      <c r="I34" s="14">
        <f t="shared" si="4"/>
        <v>2.3699335203800485</v>
      </c>
      <c r="J34" s="14">
        <f t="shared" si="4"/>
        <v>4.2683439139510648</v>
      </c>
      <c r="K34" s="14">
        <f t="shared" si="4"/>
        <v>4.3116691124006108</v>
      </c>
      <c r="L34" s="153">
        <v>3.5186326706876159</v>
      </c>
      <c r="N34" s="173" t="s">
        <v>14</v>
      </c>
      <c r="O34" s="169">
        <f>10^O33</f>
        <v>3.667308841188989E+23</v>
      </c>
      <c r="P34" s="22">
        <f>10^P33</f>
        <v>4.5710314657903603E+22</v>
      </c>
    </row>
    <row r="35" spans="2:18" ht="15.6" x14ac:dyDescent="0.3">
      <c r="B35" s="187" t="s">
        <v>257</v>
      </c>
      <c r="C35" s="9" t="s">
        <v>266</v>
      </c>
      <c r="D35" s="12">
        <f>[7]D4_PR_PMB_50_D!$J$66</f>
        <v>11071.071</v>
      </c>
      <c r="E35" s="9">
        <f>[7]D4_PR_PMB_50_D!$E$5</f>
        <v>2227</v>
      </c>
      <c r="F35" s="10">
        <f>[7]D4_PR_PMB_50_D!$E$4</f>
        <v>201.11699999999999</v>
      </c>
      <c r="G35" s="12">
        <f>[7]D4_PR_PMB_50_D!$E$6</f>
        <v>84140</v>
      </c>
      <c r="H35" s="12">
        <f>[7]D4_PR_PMB_50_D!$E$7</f>
        <v>91202</v>
      </c>
      <c r="I35" s="14">
        <f t="shared" si="4"/>
        <v>2.3034487821539202</v>
      </c>
      <c r="J35" s="14">
        <f t="shared" si="4"/>
        <v>4.9250025076809774</v>
      </c>
      <c r="K35" s="14">
        <f t="shared" si="4"/>
        <v>4.9600043622257841</v>
      </c>
      <c r="L35" s="153">
        <v>3.7080398601349596</v>
      </c>
      <c r="N35" s="173" t="s">
        <v>15</v>
      </c>
      <c r="O35" s="170">
        <f>SLOPE(J32:J38,$I32:$I38)</f>
        <v>-8.1932727293936818</v>
      </c>
      <c r="P35" s="47">
        <f>SLOPE(K32:K38,$I32:$I38)</f>
        <v>-7.793354294264641</v>
      </c>
    </row>
    <row r="36" spans="2:18" ht="16.2" thickBot="1" x14ac:dyDescent="0.35">
      <c r="B36" s="187" t="s">
        <v>258</v>
      </c>
      <c r="C36" s="9" t="s">
        <v>266</v>
      </c>
      <c r="D36" s="12">
        <f>[7]D5_PR_PMB_50_D!$J$66</f>
        <v>13211.598</v>
      </c>
      <c r="E36" s="9">
        <f>[7]D5_PR_PMB_50_D!$E$5</f>
        <v>2651</v>
      </c>
      <c r="F36" s="10">
        <f>[7]D5_PR_PMB_50_D!$E$4</f>
        <v>200.65899999999999</v>
      </c>
      <c r="G36" s="12">
        <f>[7]D5_PR_PMB_50_D!$E$6</f>
        <v>44669</v>
      </c>
      <c r="H36" s="12">
        <f>[7]D5_PR_PMB_50_D!$E$7</f>
        <v>45534</v>
      </c>
      <c r="I36" s="14">
        <f t="shared" si="4"/>
        <v>2.3024586435748664</v>
      </c>
      <c r="J36" s="14">
        <f t="shared" si="4"/>
        <v>4.6500062300777687</v>
      </c>
      <c r="K36" s="14">
        <f t="shared" si="4"/>
        <v>4.6583358032100772</v>
      </c>
      <c r="L36" s="153">
        <v>3.2950358260620316</v>
      </c>
      <c r="N36" s="184" t="s">
        <v>59</v>
      </c>
      <c r="O36" s="143">
        <f>10^((6-O33)/O35)</f>
        <v>139.2362531002785</v>
      </c>
      <c r="P36" s="27">
        <f>10^((6-P33)/P35)</f>
        <v>137.31583582816424</v>
      </c>
    </row>
    <row r="37" spans="2:18" x14ac:dyDescent="0.3">
      <c r="B37" s="187" t="s">
        <v>273</v>
      </c>
      <c r="C37" s="9" t="s">
        <v>266</v>
      </c>
      <c r="D37" s="12">
        <f>[7]D6_PR_PMB_50_D!$J$66</f>
        <v>13290.245999999999</v>
      </c>
      <c r="E37" s="9">
        <f>[7]D6_PR_PMB_50_D!$E$5</f>
        <v>2140</v>
      </c>
      <c r="F37" s="10">
        <f>[7]D6_PR_PMB_50_D!$E$4</f>
        <v>161.02600000000001</v>
      </c>
      <c r="G37" s="12">
        <f>[7]D6_PR_PMB_50_D!$E$6</f>
        <v>222161</v>
      </c>
      <c r="H37" s="12">
        <f>[7]D6_PR_PMB_50_D!$E$7</f>
        <v>197495</v>
      </c>
      <c r="I37" s="14">
        <f t="shared" si="4"/>
        <v>2.2068960048820299</v>
      </c>
      <c r="J37" s="14">
        <f t="shared" si="4"/>
        <v>5.3466678216103345</v>
      </c>
      <c r="K37" s="14">
        <f t="shared" si="4"/>
        <v>5.295556105026292</v>
      </c>
      <c r="L37" s="153">
        <v>3.3437359875381212</v>
      </c>
    </row>
    <row r="38" spans="2:18" ht="15" thickBot="1" x14ac:dyDescent="0.35">
      <c r="B38" s="188" t="s">
        <v>259</v>
      </c>
      <c r="C38" s="23" t="s">
        <v>266</v>
      </c>
      <c r="D38" s="26">
        <f>[7]D7_PR_PMB_50_D!$J$66</f>
        <v>14579.251</v>
      </c>
      <c r="E38" s="23">
        <f>[7]D7_PR_PMB_50_D!$E$5</f>
        <v>2190</v>
      </c>
      <c r="F38" s="24">
        <f>[7]D7_PR_PMB_50_D!$E$4</f>
        <v>150.221</v>
      </c>
      <c r="G38" s="26">
        <f>[7]D7_PR_PMB_50_D!$E$6</f>
        <v>1291550</v>
      </c>
      <c r="H38" s="26">
        <f>[7]D7_PR_PMB_50_D!$E$7</f>
        <v>1275134</v>
      </c>
      <c r="I38" s="28">
        <f>LOG10(F38)</f>
        <v>2.1767306486908966</v>
      </c>
      <c r="J38" s="28">
        <f>LOG10(G38)</f>
        <v>6.1111112237526708</v>
      </c>
      <c r="K38" s="28">
        <f>LOG10(H38)</f>
        <v>6.1055558258701108</v>
      </c>
      <c r="L38" s="155">
        <v>3.3034781392017321</v>
      </c>
    </row>
    <row r="42" spans="2:18" ht="15.6" x14ac:dyDescent="0.3">
      <c r="N42" s="325" t="s">
        <v>272</v>
      </c>
      <c r="O42" s="327" t="s">
        <v>188</v>
      </c>
      <c r="P42" s="328"/>
      <c r="Q42" s="329" t="s">
        <v>15</v>
      </c>
      <c r="R42" s="329"/>
    </row>
    <row r="43" spans="2:18" ht="15.6" x14ac:dyDescent="0.3">
      <c r="N43" s="326"/>
      <c r="O43" s="300" t="s">
        <v>3</v>
      </c>
      <c r="P43" s="303" t="s">
        <v>4</v>
      </c>
      <c r="Q43" s="194" t="s">
        <v>3</v>
      </c>
      <c r="R43" s="195" t="s">
        <v>4</v>
      </c>
    </row>
    <row r="44" spans="2:18" x14ac:dyDescent="0.3">
      <c r="N44" s="205" t="s">
        <v>262</v>
      </c>
      <c r="O44" s="306">
        <v>141.53001673447932</v>
      </c>
      <c r="P44" s="307">
        <v>140.28707131955088</v>
      </c>
      <c r="Q44" s="206">
        <f>O9</f>
        <v>-6.7824304580686761</v>
      </c>
      <c r="R44" s="206">
        <f>P9</f>
        <v>-6.7174295948999463</v>
      </c>
    </row>
    <row r="45" spans="2:18" x14ac:dyDescent="0.3">
      <c r="N45" s="51" t="s">
        <v>263</v>
      </c>
      <c r="O45" s="301">
        <v>199.35417952418766</v>
      </c>
      <c r="P45" s="304">
        <v>206.34031003934925</v>
      </c>
      <c r="Q45" s="58">
        <f>O16</f>
        <v>-5.5340416879032963</v>
      </c>
      <c r="R45" s="58">
        <f>P16</f>
        <v>-4.8594336179180617</v>
      </c>
    </row>
    <row r="46" spans="2:18" x14ac:dyDescent="0.3">
      <c r="N46" s="51" t="s">
        <v>264</v>
      </c>
      <c r="O46" s="301">
        <v>136.09341590316868</v>
      </c>
      <c r="P46" s="304">
        <v>139.11086907109313</v>
      </c>
      <c r="Q46" s="58">
        <f>O22</f>
        <v>-4.1626788866395232</v>
      </c>
      <c r="R46" s="58">
        <f>P22</f>
        <v>-3.6458315693175187</v>
      </c>
    </row>
    <row r="47" spans="2:18" x14ac:dyDescent="0.3">
      <c r="N47" s="207" t="s">
        <v>265</v>
      </c>
      <c r="O47" s="308">
        <v>155.75340244315467</v>
      </c>
      <c r="P47" s="309">
        <v>156.46089219497159</v>
      </c>
      <c r="Q47" s="208">
        <f>O29</f>
        <v>-7.0532919711619133</v>
      </c>
      <c r="R47" s="208">
        <f>P29</f>
        <v>-7.4697782142708036</v>
      </c>
    </row>
    <row r="48" spans="2:18" x14ac:dyDescent="0.3">
      <c r="N48" s="194" t="s">
        <v>266</v>
      </c>
      <c r="O48" s="302">
        <v>139.2362531002785</v>
      </c>
      <c r="P48" s="305">
        <v>137.31583582816424</v>
      </c>
      <c r="Q48" s="204">
        <f>O35</f>
        <v>-8.1932727293936818</v>
      </c>
      <c r="R48" s="204">
        <f>P35</f>
        <v>-7.793354294264641</v>
      </c>
    </row>
  </sheetData>
  <mergeCells count="5">
    <mergeCell ref="B3:B4"/>
    <mergeCell ref="C3:C4"/>
    <mergeCell ref="N42:N43"/>
    <mergeCell ref="O42:P42"/>
    <mergeCell ref="Q42:R42"/>
  </mergeCells>
  <phoneticPr fontId="8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90A81-F2CB-4126-BB31-1D27830F54FF}">
  <dimension ref="C2:AX105"/>
  <sheetViews>
    <sheetView topLeftCell="A48" zoomScaleNormal="100" workbookViewId="0">
      <selection activeCell="AF46" sqref="AF46"/>
    </sheetView>
  </sheetViews>
  <sheetFormatPr defaultRowHeight="14.4" x14ac:dyDescent="0.3"/>
  <cols>
    <col min="2" max="2" width="12.109375" bestFit="1" customWidth="1"/>
    <col min="4" max="4" width="11.44140625" bestFit="1" customWidth="1"/>
    <col min="12" max="12" width="9.6640625" bestFit="1" customWidth="1"/>
    <col min="13" max="13" width="11" bestFit="1" customWidth="1"/>
    <col min="14" max="14" width="10.5546875" bestFit="1" customWidth="1"/>
    <col min="15" max="15" width="11.5546875" bestFit="1" customWidth="1"/>
    <col min="16" max="16" width="11.77734375" bestFit="1" customWidth="1"/>
    <col min="17" max="17" width="9" bestFit="1" customWidth="1"/>
    <col min="18" max="18" width="9.6640625" bestFit="1" customWidth="1"/>
    <col min="20" max="20" width="9.5546875" bestFit="1" customWidth="1"/>
    <col min="22" max="22" width="12.44140625" bestFit="1" customWidth="1"/>
    <col min="23" max="23" width="9.6640625" bestFit="1" customWidth="1"/>
    <col min="25" max="25" width="8.5546875" bestFit="1" customWidth="1"/>
    <col min="27" max="27" width="11" bestFit="1" customWidth="1"/>
    <col min="28" max="28" width="8.5546875" bestFit="1" customWidth="1"/>
    <col min="30" max="30" width="8.5546875" bestFit="1" customWidth="1"/>
    <col min="31" max="31" width="21.88671875" bestFit="1" customWidth="1"/>
    <col min="32" max="32" width="11.5546875" bestFit="1" customWidth="1"/>
    <col min="33" max="33" width="16.6640625" bestFit="1" customWidth="1"/>
    <col min="34" max="34" width="10.6640625" bestFit="1" customWidth="1"/>
    <col min="35" max="35" width="14" bestFit="1" customWidth="1"/>
    <col min="36" max="36" width="18.88671875" bestFit="1" customWidth="1"/>
    <col min="39" max="39" width="9.5546875" bestFit="1" customWidth="1"/>
    <col min="40" max="40" width="11" bestFit="1" customWidth="1"/>
    <col min="42" max="42" width="10.44140625" customWidth="1"/>
    <col min="43" max="43" width="10.88671875" customWidth="1"/>
    <col min="67" max="67" width="13.109375" customWidth="1"/>
  </cols>
  <sheetData>
    <row r="2" spans="3:39" ht="15.6" x14ac:dyDescent="0.3">
      <c r="C2" s="125"/>
      <c r="D2" s="51"/>
      <c r="E2" s="51"/>
      <c r="F2" s="52"/>
      <c r="G2" s="51"/>
      <c r="H2" s="51"/>
      <c r="I2" s="51"/>
      <c r="J2" s="53"/>
      <c r="K2" s="53"/>
      <c r="L2" s="51"/>
      <c r="M2" s="51"/>
      <c r="N2" s="53"/>
      <c r="O2" s="53"/>
    </row>
    <row r="3" spans="3:39" x14ac:dyDescent="0.3">
      <c r="C3" s="125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AG3" t="s">
        <v>198</v>
      </c>
      <c r="AH3">
        <v>11218.118</v>
      </c>
      <c r="AI3">
        <v>1200</v>
      </c>
      <c r="AJ3">
        <v>301.29716656169524</v>
      </c>
      <c r="AK3">
        <v>1307</v>
      </c>
      <c r="AL3">
        <v>1185</v>
      </c>
      <c r="AM3">
        <v>1645</v>
      </c>
    </row>
    <row r="4" spans="3:39" x14ac:dyDescent="0.3">
      <c r="C4" s="51"/>
      <c r="D4" s="54"/>
      <c r="E4" s="55"/>
      <c r="F4" s="56"/>
      <c r="G4" s="56"/>
      <c r="H4" s="57"/>
      <c r="I4" s="54"/>
      <c r="J4" s="54"/>
      <c r="K4" s="54"/>
      <c r="L4" s="58"/>
      <c r="M4" s="58"/>
      <c r="N4" s="58"/>
      <c r="O4" s="58"/>
      <c r="AG4" t="s">
        <v>199</v>
      </c>
      <c r="AH4">
        <v>17002.836000000003</v>
      </c>
      <c r="AI4">
        <v>900</v>
      </c>
      <c r="AJ4">
        <v>120.24127946465353</v>
      </c>
      <c r="AK4">
        <v>11929</v>
      </c>
      <c r="AL4">
        <v>11305</v>
      </c>
      <c r="AM4">
        <v>15134</v>
      </c>
    </row>
    <row r="5" spans="3:39" ht="15.6" x14ac:dyDescent="0.3">
      <c r="C5" s="51"/>
      <c r="D5" s="330"/>
      <c r="E5" s="51"/>
      <c r="F5" s="51"/>
      <c r="G5" s="52"/>
      <c r="H5" s="51"/>
      <c r="I5" s="51"/>
      <c r="J5" s="51"/>
      <c r="K5" s="53"/>
      <c r="L5" s="53"/>
      <c r="M5" s="51"/>
      <c r="N5" s="51"/>
      <c r="O5" s="53"/>
      <c r="P5" s="53"/>
      <c r="AG5" t="s">
        <v>200</v>
      </c>
      <c r="AH5">
        <v>19732.506000000001</v>
      </c>
      <c r="AI5">
        <v>650</v>
      </c>
      <c r="AJ5">
        <v>82.420277446649095</v>
      </c>
      <c r="AK5">
        <v>106877</v>
      </c>
      <c r="AL5">
        <v>104177</v>
      </c>
      <c r="AM5">
        <v>138037</v>
      </c>
    </row>
    <row r="6" spans="3:39" x14ac:dyDescent="0.3">
      <c r="C6" s="51"/>
      <c r="D6" s="330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T6" s="59"/>
      <c r="AG6" t="s">
        <v>201</v>
      </c>
      <c r="AH6">
        <v>17849.649999999998</v>
      </c>
      <c r="AI6">
        <v>700</v>
      </c>
      <c r="AJ6">
        <v>98.727658266813009</v>
      </c>
      <c r="AK6">
        <v>33112</v>
      </c>
      <c r="AL6">
        <v>32358</v>
      </c>
      <c r="AM6">
        <v>41685</v>
      </c>
    </row>
    <row r="7" spans="3:39" x14ac:dyDescent="0.3">
      <c r="C7" s="51"/>
      <c r="D7" s="51"/>
      <c r="E7" s="54"/>
      <c r="F7" s="55"/>
      <c r="G7" s="56"/>
      <c r="H7" s="56"/>
      <c r="I7" s="57"/>
      <c r="J7" s="54"/>
      <c r="K7" s="54"/>
      <c r="L7" s="54"/>
      <c r="M7" s="58"/>
      <c r="N7" s="58"/>
      <c r="O7" s="58"/>
      <c r="P7" s="58"/>
      <c r="T7" s="59"/>
      <c r="AG7" t="s">
        <v>202</v>
      </c>
      <c r="AH7">
        <v>12641.273999999999</v>
      </c>
      <c r="AI7">
        <v>1000</v>
      </c>
      <c r="AJ7">
        <v>191.08899818587605</v>
      </c>
      <c r="AK7">
        <v>5452</v>
      </c>
      <c r="AL7">
        <v>4947</v>
      </c>
      <c r="AM7">
        <v>6917</v>
      </c>
    </row>
    <row r="8" spans="3:39" x14ac:dyDescent="0.3">
      <c r="C8" s="51"/>
      <c r="D8" s="51"/>
      <c r="E8" s="54"/>
      <c r="F8" s="55"/>
      <c r="G8" s="56"/>
      <c r="H8" s="56"/>
      <c r="I8" s="57"/>
      <c r="J8" s="54"/>
      <c r="K8" s="54"/>
      <c r="L8" s="54"/>
      <c r="M8" s="58"/>
      <c r="N8" s="58"/>
      <c r="O8" s="58"/>
      <c r="P8" s="58"/>
      <c r="Q8" s="55"/>
      <c r="R8" s="51"/>
      <c r="T8" s="59"/>
    </row>
    <row r="9" spans="3:39" x14ac:dyDescent="0.3">
      <c r="C9" s="51"/>
      <c r="D9" s="51"/>
      <c r="E9" s="54"/>
      <c r="F9" s="55"/>
      <c r="G9" s="56"/>
      <c r="H9" s="56"/>
      <c r="I9" s="57"/>
      <c r="J9" s="54"/>
      <c r="K9" s="54"/>
      <c r="L9" s="54"/>
      <c r="M9" s="58"/>
      <c r="N9" s="58"/>
      <c r="O9" s="58"/>
      <c r="P9" s="58"/>
      <c r="Q9" s="51"/>
      <c r="R9" s="58"/>
      <c r="T9" s="59"/>
    </row>
    <row r="10" spans="3:39" x14ac:dyDescent="0.3">
      <c r="C10" s="51"/>
      <c r="D10" s="51"/>
      <c r="E10" s="54"/>
      <c r="F10" s="55"/>
      <c r="G10" s="56"/>
      <c r="H10" s="56"/>
      <c r="I10" s="57"/>
      <c r="J10" s="54"/>
      <c r="K10" s="54"/>
      <c r="L10" s="54"/>
      <c r="M10" s="58"/>
      <c r="N10" s="58"/>
      <c r="O10" s="58"/>
      <c r="P10" s="58"/>
      <c r="Q10" s="51"/>
      <c r="R10" s="60"/>
      <c r="T10" s="59"/>
    </row>
    <row r="11" spans="3:39" x14ac:dyDescent="0.3">
      <c r="C11" s="51"/>
      <c r="D11" s="51"/>
      <c r="E11" s="54"/>
      <c r="F11" s="55"/>
      <c r="G11" s="56"/>
      <c r="H11" s="56"/>
      <c r="I11" s="57"/>
      <c r="J11" s="54"/>
      <c r="K11" s="54"/>
      <c r="L11" s="54"/>
      <c r="M11" s="58"/>
      <c r="N11" s="58"/>
      <c r="O11" s="58"/>
      <c r="P11" s="58"/>
      <c r="Q11" s="51"/>
      <c r="R11" s="55"/>
      <c r="T11" s="59"/>
      <c r="U11" s="53"/>
    </row>
    <row r="12" spans="3:39" x14ac:dyDescent="0.3">
      <c r="C12" s="51"/>
      <c r="D12" s="51"/>
      <c r="E12" s="54"/>
      <c r="F12" s="55"/>
      <c r="G12" s="56"/>
      <c r="H12" s="56"/>
      <c r="I12" s="57"/>
      <c r="J12" s="54"/>
      <c r="K12" s="54"/>
      <c r="L12" s="54"/>
      <c r="M12" s="58"/>
      <c r="N12" s="58"/>
      <c r="O12" s="58"/>
      <c r="P12" s="58"/>
      <c r="Q12" s="61"/>
      <c r="R12" s="51"/>
      <c r="U12" s="58"/>
    </row>
    <row r="13" spans="3:39" x14ac:dyDescent="0.3">
      <c r="D13" s="51"/>
      <c r="E13" s="54"/>
      <c r="F13" s="55"/>
      <c r="G13" s="56"/>
      <c r="H13" s="56"/>
      <c r="I13" s="55"/>
      <c r="J13" s="54"/>
      <c r="K13" s="54"/>
      <c r="L13" s="54"/>
      <c r="M13" s="58"/>
      <c r="N13" s="58"/>
      <c r="O13" s="58"/>
      <c r="P13" s="58"/>
      <c r="R13" s="51"/>
      <c r="S13" s="60"/>
      <c r="T13" s="60"/>
      <c r="U13" s="60"/>
    </row>
    <row r="14" spans="3:39" x14ac:dyDescent="0.3">
      <c r="D14" s="51"/>
      <c r="E14" s="54"/>
      <c r="F14" s="55"/>
      <c r="G14" s="56"/>
      <c r="H14" s="56"/>
      <c r="I14" s="57"/>
      <c r="J14" s="54"/>
      <c r="K14" s="54"/>
      <c r="L14" s="54"/>
      <c r="M14" s="58"/>
      <c r="N14" s="58"/>
      <c r="O14" s="58"/>
      <c r="P14" s="58"/>
      <c r="R14" s="51"/>
      <c r="S14" s="58"/>
      <c r="T14" s="58"/>
      <c r="U14" s="58"/>
    </row>
    <row r="15" spans="3:39" x14ac:dyDescent="0.3">
      <c r="D15" s="51"/>
      <c r="E15" s="54"/>
      <c r="F15" s="55"/>
      <c r="G15" s="56"/>
      <c r="H15" s="56"/>
      <c r="I15" s="57"/>
      <c r="J15" s="54"/>
      <c r="K15" s="54"/>
      <c r="L15" s="54"/>
      <c r="M15" s="58"/>
      <c r="N15" s="58"/>
      <c r="O15" s="58"/>
      <c r="P15" s="58"/>
      <c r="R15" s="61"/>
      <c r="S15" s="54"/>
      <c r="T15" s="54"/>
      <c r="U15" s="54"/>
    </row>
    <row r="17" spans="4:39" x14ac:dyDescent="0.3">
      <c r="M17" s="62"/>
    </row>
    <row r="18" spans="4:39" x14ac:dyDescent="0.3">
      <c r="AL18" s="63"/>
    </row>
    <row r="19" spans="4:39" ht="15" thickBot="1" x14ac:dyDescent="0.35">
      <c r="D19" s="51" t="s">
        <v>64</v>
      </c>
      <c r="J19" s="51" t="s">
        <v>65</v>
      </c>
      <c r="K19" s="51" t="s">
        <v>65</v>
      </c>
    </row>
    <row r="20" spans="4:39" ht="20.399999999999999" thickBot="1" x14ac:dyDescent="0.35">
      <c r="D20" s="331" t="s">
        <v>0</v>
      </c>
      <c r="E20" s="64" t="s">
        <v>66</v>
      </c>
      <c r="F20" s="65" t="s">
        <v>67</v>
      </c>
      <c r="G20" s="1" t="s">
        <v>68</v>
      </c>
      <c r="H20" s="1" t="s">
        <v>69</v>
      </c>
      <c r="I20" s="1" t="s">
        <v>1</v>
      </c>
      <c r="J20" s="1" t="s">
        <v>68</v>
      </c>
      <c r="K20" s="66" t="s">
        <v>69</v>
      </c>
      <c r="O20" s="51"/>
      <c r="P20" s="51"/>
      <c r="Q20" s="51"/>
    </row>
    <row r="21" spans="4:39" ht="15.6" thickBot="1" x14ac:dyDescent="0.35">
      <c r="D21" s="332"/>
      <c r="E21" s="48" t="s">
        <v>70</v>
      </c>
      <c r="F21" s="38" t="s">
        <v>71</v>
      </c>
      <c r="G21" s="38" t="s">
        <v>71</v>
      </c>
      <c r="H21" s="38" t="s">
        <v>72</v>
      </c>
      <c r="I21" s="38" t="s">
        <v>73</v>
      </c>
      <c r="J21" s="38" t="s">
        <v>71</v>
      </c>
      <c r="K21" s="39" t="s">
        <v>72</v>
      </c>
      <c r="M21" s="55"/>
      <c r="N21" s="67" t="s">
        <v>74</v>
      </c>
      <c r="O21" s="51"/>
      <c r="P21" s="51"/>
      <c r="Q21" s="51"/>
    </row>
    <row r="22" spans="4:39" ht="15.6" x14ac:dyDescent="0.3">
      <c r="D22" s="68" t="s">
        <v>75</v>
      </c>
      <c r="E22" s="69">
        <v>500</v>
      </c>
      <c r="F22" s="4">
        <v>85.11</v>
      </c>
      <c r="G22" s="4">
        <v>170.22</v>
      </c>
      <c r="H22" s="2">
        <v>2140</v>
      </c>
      <c r="I22" s="2">
        <v>12041</v>
      </c>
      <c r="J22" s="7">
        <v>2.231010586179496</v>
      </c>
      <c r="K22" s="8">
        <v>3.330413773349191</v>
      </c>
      <c r="M22" s="70" t="s">
        <v>13</v>
      </c>
      <c r="N22" s="71">
        <f>INTERCEPT(K22:K27,$J22:$J27)</f>
        <v>11.85469966058001</v>
      </c>
      <c r="O22" s="54"/>
      <c r="P22" s="54"/>
      <c r="Q22" s="54"/>
      <c r="V22" s="55"/>
      <c r="W22" s="53"/>
      <c r="X22" s="51"/>
      <c r="Y22" s="53"/>
      <c r="AL22" s="63"/>
      <c r="AM22" s="63"/>
    </row>
    <row r="23" spans="4:39" x14ac:dyDescent="0.3">
      <c r="D23" s="72" t="s">
        <v>76</v>
      </c>
      <c r="E23" s="73">
        <v>560</v>
      </c>
      <c r="F23" s="11">
        <v>83.5</v>
      </c>
      <c r="G23" s="11">
        <v>167</v>
      </c>
      <c r="H23" s="9">
        <v>1610</v>
      </c>
      <c r="I23" s="9">
        <v>13744</v>
      </c>
      <c r="J23" s="14">
        <v>2.2227164711475833</v>
      </c>
      <c r="K23" s="15">
        <v>3.2068258760318495</v>
      </c>
      <c r="M23" s="74" t="s">
        <v>14</v>
      </c>
      <c r="N23" s="75">
        <f>10^N22</f>
        <v>715648327382.24768</v>
      </c>
      <c r="O23" s="54"/>
      <c r="P23" s="54"/>
      <c r="Q23" s="54"/>
      <c r="V23" s="51"/>
      <c r="W23" s="58"/>
      <c r="X23" s="58"/>
      <c r="Y23" s="58"/>
    </row>
    <row r="24" spans="4:39" ht="15.6" x14ac:dyDescent="0.3">
      <c r="D24" s="72" t="s">
        <v>77</v>
      </c>
      <c r="E24" s="73">
        <v>310</v>
      </c>
      <c r="F24" s="11">
        <v>45.61</v>
      </c>
      <c r="G24" s="11">
        <v>91.22</v>
      </c>
      <c r="H24" s="9">
        <v>12630</v>
      </c>
      <c r="I24" s="9">
        <v>13935</v>
      </c>
      <c r="J24" s="14">
        <v>1.9600900679049196</v>
      </c>
      <c r="K24" s="15">
        <v>4.1014033505553309</v>
      </c>
      <c r="M24" s="74" t="s">
        <v>15</v>
      </c>
      <c r="N24" s="76">
        <f>SLOPE(K22:K27,$J22:$J27)</f>
        <v>-3.8760900907168909</v>
      </c>
      <c r="O24" s="54"/>
      <c r="P24" s="54"/>
      <c r="Q24" s="54"/>
      <c r="V24" s="51"/>
      <c r="W24" s="58"/>
      <c r="X24" s="60"/>
      <c r="Y24" s="60"/>
    </row>
    <row r="25" spans="4:39" ht="16.2" thickBot="1" x14ac:dyDescent="0.35">
      <c r="D25" s="72" t="s">
        <v>78</v>
      </c>
      <c r="E25" s="73">
        <v>285</v>
      </c>
      <c r="F25" s="11">
        <v>39</v>
      </c>
      <c r="G25" s="11">
        <v>78</v>
      </c>
      <c r="H25" s="9">
        <v>26470</v>
      </c>
      <c r="I25" s="9">
        <v>14953</v>
      </c>
      <c r="J25" s="14">
        <v>1.8920946026904804</v>
      </c>
      <c r="K25" s="15">
        <v>4.4227539413013481</v>
      </c>
      <c r="M25" s="77" t="s">
        <v>59</v>
      </c>
      <c r="N25" s="78">
        <f>10^((6-N22)/N24)</f>
        <v>32.394055382711798</v>
      </c>
      <c r="O25" s="54"/>
      <c r="P25" s="54"/>
      <c r="Q25" s="54"/>
      <c r="V25" s="51"/>
      <c r="X25" s="58"/>
      <c r="Y25" s="58"/>
    </row>
    <row r="26" spans="4:39" x14ac:dyDescent="0.3">
      <c r="D26" s="72" t="s">
        <v>79</v>
      </c>
      <c r="E26" s="73">
        <v>185</v>
      </c>
      <c r="F26" s="11">
        <v>29.32</v>
      </c>
      <c r="G26" s="11">
        <v>58.64</v>
      </c>
      <c r="H26" s="9">
        <v>141160</v>
      </c>
      <c r="I26" s="9">
        <v>12935</v>
      </c>
      <c r="J26" s="14">
        <v>1.7681939616330715</v>
      </c>
      <c r="K26" s="15">
        <v>5.1497116496879318</v>
      </c>
      <c r="O26" s="54"/>
      <c r="P26" s="54"/>
      <c r="Q26" s="54"/>
      <c r="V26" s="61"/>
      <c r="W26" s="54"/>
      <c r="X26" s="54"/>
      <c r="Y26" s="54"/>
    </row>
    <row r="27" spans="4:39" ht="15" thickBot="1" x14ac:dyDescent="0.35">
      <c r="D27" s="79" t="s">
        <v>80</v>
      </c>
      <c r="E27" s="80">
        <v>155</v>
      </c>
      <c r="F27" s="25">
        <v>27.98</v>
      </c>
      <c r="G27" s="25">
        <v>55.96</v>
      </c>
      <c r="H27" s="23">
        <v>124170</v>
      </c>
      <c r="I27" s="23">
        <v>11356</v>
      </c>
      <c r="J27" s="28">
        <v>1.7478777058197901</v>
      </c>
      <c r="K27" s="29">
        <v>5.0940166811204222</v>
      </c>
      <c r="O27" s="54"/>
      <c r="P27" s="54"/>
      <c r="Q27" s="54"/>
    </row>
    <row r="28" spans="4:39" ht="15.6" thickBot="1" x14ac:dyDescent="0.35">
      <c r="D28" s="81" t="s">
        <v>81</v>
      </c>
      <c r="E28" s="69">
        <v>590</v>
      </c>
      <c r="F28" s="4">
        <v>86.43</v>
      </c>
      <c r="G28" s="4">
        <v>172.86</v>
      </c>
      <c r="H28" s="2">
        <v>1640</v>
      </c>
      <c r="I28" s="2">
        <v>13989</v>
      </c>
      <c r="J28" s="7">
        <v>2.2376945086640565</v>
      </c>
      <c r="K28" s="8">
        <v>3.214843848047698</v>
      </c>
      <c r="M28" s="55"/>
      <c r="N28" s="67" t="s">
        <v>74</v>
      </c>
      <c r="O28" s="54"/>
      <c r="P28" s="54"/>
      <c r="Q28" s="54"/>
      <c r="V28" s="55"/>
      <c r="W28" s="53"/>
      <c r="X28" s="51"/>
    </row>
    <row r="29" spans="4:39" ht="15.6" x14ac:dyDescent="0.3">
      <c r="D29" s="82" t="s">
        <v>82</v>
      </c>
      <c r="E29" s="73">
        <v>540</v>
      </c>
      <c r="F29" s="11">
        <v>91</v>
      </c>
      <c r="G29" s="11">
        <v>182</v>
      </c>
      <c r="H29" s="9">
        <v>1210</v>
      </c>
      <c r="I29" s="9">
        <v>12192</v>
      </c>
      <c r="J29" s="14">
        <v>2.2600713879850747</v>
      </c>
      <c r="K29" s="15">
        <v>3.0827853703164503</v>
      </c>
      <c r="M29" s="70" t="s">
        <v>13</v>
      </c>
      <c r="N29" s="71">
        <f>INTERCEPT(K28:K33,$J28:$J33)</f>
        <v>12.959350132158837</v>
      </c>
      <c r="O29" s="54"/>
      <c r="P29" s="54"/>
      <c r="Q29" s="54"/>
      <c r="V29" s="51"/>
      <c r="W29" s="58"/>
      <c r="X29" s="58"/>
    </row>
    <row r="30" spans="4:39" ht="15.6" x14ac:dyDescent="0.3">
      <c r="D30" s="82" t="s">
        <v>83</v>
      </c>
      <c r="E30" s="73">
        <v>315</v>
      </c>
      <c r="F30" s="11">
        <v>40.770000000000003</v>
      </c>
      <c r="G30" s="11">
        <v>81.540000000000006</v>
      </c>
      <c r="H30" s="9">
        <v>28760</v>
      </c>
      <c r="I30" s="9">
        <v>15838</v>
      </c>
      <c r="J30" s="14">
        <v>1.9113707071161379</v>
      </c>
      <c r="K30" s="15">
        <v>4.458788881710845</v>
      </c>
      <c r="M30" s="74" t="s">
        <v>84</v>
      </c>
      <c r="N30" s="75">
        <f>10^N29</f>
        <v>9106471487723.7793</v>
      </c>
      <c r="O30" s="54"/>
      <c r="P30" s="54"/>
      <c r="Q30" s="54"/>
      <c r="V30" s="51"/>
      <c r="W30" s="60"/>
      <c r="X30" s="60"/>
    </row>
    <row r="31" spans="4:39" ht="15.6" x14ac:dyDescent="0.3">
      <c r="D31" s="82" t="s">
        <v>85</v>
      </c>
      <c r="E31" s="73">
        <v>385</v>
      </c>
      <c r="F31" s="11">
        <v>47.67</v>
      </c>
      <c r="G31" s="11">
        <v>95.34</v>
      </c>
      <c r="H31" s="9">
        <v>8600</v>
      </c>
      <c r="I31" s="9">
        <v>16555</v>
      </c>
      <c r="J31" s="14">
        <v>1.9792751475910233</v>
      </c>
      <c r="K31" s="15">
        <v>3.9344984512435679</v>
      </c>
      <c r="M31" s="74" t="s">
        <v>15</v>
      </c>
      <c r="N31" s="76">
        <f>SLOPE(K28:K33,$J28:$J33)</f>
        <v>-4.3981879550652518</v>
      </c>
      <c r="O31" s="54"/>
      <c r="P31" s="54"/>
      <c r="Q31" s="54"/>
      <c r="V31" s="51"/>
      <c r="W31" s="58"/>
      <c r="X31" s="58"/>
      <c r="AD31" s="83"/>
    </row>
    <row r="32" spans="4:39" ht="16.2" thickBot="1" x14ac:dyDescent="0.35">
      <c r="D32" s="82" t="s">
        <v>86</v>
      </c>
      <c r="E32" s="73">
        <v>220</v>
      </c>
      <c r="F32" s="11">
        <v>31.26</v>
      </c>
      <c r="G32" s="11">
        <v>62.52</v>
      </c>
      <c r="H32" s="9">
        <v>168060</v>
      </c>
      <c r="I32" s="9">
        <v>14426</v>
      </c>
      <c r="J32" s="14">
        <v>1.7960189693471493</v>
      </c>
      <c r="K32" s="15">
        <v>5.2254643592072121</v>
      </c>
      <c r="M32" s="77" t="s">
        <v>59</v>
      </c>
      <c r="N32" s="78">
        <f>10^((6-N29)/N31)</f>
        <v>38.222767591128274</v>
      </c>
      <c r="O32" s="54"/>
      <c r="P32" s="54"/>
      <c r="Q32" s="54"/>
      <c r="V32" s="61"/>
      <c r="W32" s="54"/>
      <c r="X32" s="54"/>
    </row>
    <row r="33" spans="4:50" ht="15" thickBot="1" x14ac:dyDescent="0.35">
      <c r="D33" s="84" t="s">
        <v>87</v>
      </c>
      <c r="E33" s="80">
        <v>200</v>
      </c>
      <c r="F33" s="25">
        <v>28.81</v>
      </c>
      <c r="G33" s="25">
        <v>57.62</v>
      </c>
      <c r="H33" s="23">
        <v>201070</v>
      </c>
      <c r="I33" s="23">
        <v>14228</v>
      </c>
      <c r="J33" s="28">
        <v>1.7605732539443941</v>
      </c>
      <c r="K33" s="29">
        <v>5.3033472779245825</v>
      </c>
      <c r="O33" s="54"/>
      <c r="P33" s="54"/>
      <c r="Q33" s="54"/>
    </row>
    <row r="34" spans="4:50" ht="15" thickBot="1" x14ac:dyDescent="0.35">
      <c r="D34" s="85" t="s">
        <v>88</v>
      </c>
      <c r="E34" s="86">
        <v>370</v>
      </c>
      <c r="F34" s="35">
        <v>84.77</v>
      </c>
      <c r="G34" s="35">
        <v>169.54</v>
      </c>
      <c r="H34" s="33">
        <v>2180</v>
      </c>
      <c r="I34" s="33">
        <v>8947</v>
      </c>
      <c r="J34" s="36">
        <v>2.2292721788212901</v>
      </c>
      <c r="K34" s="37">
        <v>3.3384564936046046</v>
      </c>
      <c r="O34" s="54"/>
      <c r="P34" s="54"/>
      <c r="Q34" s="54"/>
    </row>
    <row r="35" spans="4:50" ht="15.6" thickBot="1" x14ac:dyDescent="0.35">
      <c r="D35" s="87" t="s">
        <v>89</v>
      </c>
      <c r="E35" s="73">
        <v>390</v>
      </c>
      <c r="F35" s="11">
        <v>97.48</v>
      </c>
      <c r="G35" s="11">
        <v>194.96</v>
      </c>
      <c r="H35" s="9">
        <v>1440</v>
      </c>
      <c r="I35" s="9">
        <v>8201</v>
      </c>
      <c r="J35" s="14">
        <v>2.289945516176668</v>
      </c>
      <c r="K35" s="15">
        <v>3.1583624920952498</v>
      </c>
      <c r="M35" s="55"/>
      <c r="N35" s="67" t="s">
        <v>74</v>
      </c>
      <c r="O35" s="54"/>
      <c r="P35" s="333" t="s">
        <v>90</v>
      </c>
      <c r="Q35" s="333"/>
      <c r="R35" s="333"/>
      <c r="S35" s="333"/>
      <c r="T35" s="333"/>
      <c r="V35" s="55"/>
      <c r="W35" s="53"/>
      <c r="Y35" s="333" t="s">
        <v>91</v>
      </c>
      <c r="Z35" s="333"/>
      <c r="AA35" s="333"/>
      <c r="AB35" s="333"/>
      <c r="AC35" s="333"/>
      <c r="AH35" s="333" t="s">
        <v>92</v>
      </c>
      <c r="AI35" s="333"/>
      <c r="AJ35" s="333"/>
      <c r="AK35" s="333"/>
      <c r="AL35" s="333"/>
      <c r="AW35" s="330"/>
      <c r="AX35" s="330"/>
    </row>
    <row r="36" spans="4:50" ht="16.2" thickBot="1" x14ac:dyDescent="0.35">
      <c r="D36" s="87" t="s">
        <v>93</v>
      </c>
      <c r="E36" s="73">
        <v>230</v>
      </c>
      <c r="F36" s="11">
        <v>45.1</v>
      </c>
      <c r="G36" s="11">
        <v>90.2</v>
      </c>
      <c r="H36" s="9">
        <v>22280</v>
      </c>
      <c r="I36" s="9">
        <v>10457</v>
      </c>
      <c r="J36" s="14">
        <v>1.9552065375419418</v>
      </c>
      <c r="K36" s="15">
        <v>4.347915186501691</v>
      </c>
      <c r="M36" s="70" t="s">
        <v>13</v>
      </c>
      <c r="N36" s="71">
        <f>INTERCEPT(K34:K39,$J34:$J39)</f>
        <v>12.131768310741041</v>
      </c>
      <c r="O36" s="54"/>
      <c r="P36" s="336" t="s">
        <v>189</v>
      </c>
      <c r="Q36" s="336"/>
      <c r="R36" s="336"/>
      <c r="S36" s="336"/>
      <c r="T36" s="336"/>
      <c r="V36" s="51"/>
      <c r="W36" s="58"/>
      <c r="X36" s="88"/>
      <c r="Y36" s="336" t="s">
        <v>189</v>
      </c>
      <c r="Z36" s="336"/>
      <c r="AA36" s="336"/>
      <c r="AB36" s="336"/>
      <c r="AC36" s="336"/>
      <c r="AH36" s="336" t="s">
        <v>189</v>
      </c>
      <c r="AI36" s="336"/>
      <c r="AJ36" s="336"/>
      <c r="AK36" s="336"/>
      <c r="AL36" s="336"/>
      <c r="AW36" s="93"/>
      <c r="AX36" s="93"/>
    </row>
    <row r="37" spans="4:50" ht="19.8" thickBot="1" x14ac:dyDescent="0.35">
      <c r="D37" s="87" t="s">
        <v>94</v>
      </c>
      <c r="E37" s="73">
        <v>220</v>
      </c>
      <c r="F37" s="11">
        <v>42</v>
      </c>
      <c r="G37" s="11">
        <v>84</v>
      </c>
      <c r="H37" s="9">
        <v>17960</v>
      </c>
      <c r="I37" s="9">
        <v>10698</v>
      </c>
      <c r="J37" s="14">
        <v>1.9242792860618816</v>
      </c>
      <c r="K37" s="15">
        <v>4.2543063323312857</v>
      </c>
      <c r="M37" s="74" t="s">
        <v>14</v>
      </c>
      <c r="N37" s="75">
        <f>10^N36</f>
        <v>1354466632978.4614</v>
      </c>
      <c r="O37" s="54"/>
      <c r="P37" s="89" t="s">
        <v>95</v>
      </c>
      <c r="Q37" s="90">
        <f>((-$M$65)-(-$N$31))/(-$M$65)</f>
        <v>0.38997842785773801</v>
      </c>
      <c r="R37" s="91"/>
      <c r="S37" s="89" t="s">
        <v>96</v>
      </c>
      <c r="T37" s="92">
        <f>($M$63-$N$29)/$M$63</f>
        <v>0.37040835842933512</v>
      </c>
      <c r="V37" s="51"/>
      <c r="W37" s="60"/>
      <c r="X37" s="93"/>
      <c r="Y37" s="89" t="s">
        <v>95</v>
      </c>
      <c r="Z37" s="90">
        <f>((-$M$53)-(-$N$24))/(-$M$53)</f>
        <v>0.39368272044142505</v>
      </c>
      <c r="AA37" s="94"/>
      <c r="AB37" s="89" t="s">
        <v>96</v>
      </c>
      <c r="AC37" s="92">
        <f>($M$51-$N$22)/$M$51</f>
        <v>0.37108015887544338</v>
      </c>
      <c r="AH37" s="89" t="s">
        <v>95</v>
      </c>
      <c r="AI37" s="90">
        <f>((-$M$77)-(-$N$38))/(-$M$77)</f>
        <v>0.41720906000650659</v>
      </c>
      <c r="AK37" s="89" t="s">
        <v>96</v>
      </c>
      <c r="AL37" s="92">
        <f>($M$75-$N$36)/$M$75</f>
        <v>0.38912186041904823</v>
      </c>
    </row>
    <row r="38" spans="4:50" ht="15.6" x14ac:dyDescent="0.3">
      <c r="D38" s="87" t="s">
        <v>97</v>
      </c>
      <c r="E38" s="73">
        <v>140</v>
      </c>
      <c r="F38" s="11">
        <v>27.97</v>
      </c>
      <c r="G38" s="11">
        <v>55.94</v>
      </c>
      <c r="H38" s="9">
        <v>173670</v>
      </c>
      <c r="I38" s="9">
        <v>10253</v>
      </c>
      <c r="J38" s="14">
        <v>1.7477224620355085</v>
      </c>
      <c r="K38" s="15">
        <v>5.2397248042864657</v>
      </c>
      <c r="M38" s="74" t="s">
        <v>15</v>
      </c>
      <c r="N38" s="76">
        <f>SLOPE(K34:K39,$J34:$J39)</f>
        <v>-3.9521189632741054</v>
      </c>
      <c r="O38" s="54"/>
      <c r="P38" s="54"/>
      <c r="Q38" s="54"/>
      <c r="T38" s="94"/>
      <c r="U38" s="95"/>
      <c r="V38" s="51"/>
      <c r="W38" s="58"/>
      <c r="X38" s="88"/>
      <c r="Y38" s="54"/>
      <c r="Z38" s="54"/>
      <c r="AH38" s="54"/>
      <c r="AI38" s="54"/>
    </row>
    <row r="39" spans="4:50" ht="16.2" thickBot="1" x14ac:dyDescent="0.35">
      <c r="D39" s="96" t="s">
        <v>98</v>
      </c>
      <c r="E39" s="80">
        <v>125</v>
      </c>
      <c r="F39" s="25">
        <v>31.07</v>
      </c>
      <c r="G39" s="25">
        <v>62.14</v>
      </c>
      <c r="H39" s="23">
        <v>183800</v>
      </c>
      <c r="I39" s="23">
        <v>8903</v>
      </c>
      <c r="J39" s="28">
        <v>1.7933712489189557</v>
      </c>
      <c r="K39" s="29">
        <v>5.2643455070500922</v>
      </c>
      <c r="M39" s="77" t="s">
        <v>59</v>
      </c>
      <c r="N39" s="78">
        <f>10^((6-N36)/N38)</f>
        <v>35.605255258608452</v>
      </c>
      <c r="O39" s="54"/>
      <c r="P39" s="336" t="s">
        <v>190</v>
      </c>
      <c r="Q39" s="336"/>
      <c r="R39" s="336"/>
      <c r="S39" s="336"/>
      <c r="T39" s="336"/>
      <c r="V39" s="61"/>
      <c r="W39" s="54"/>
      <c r="X39" s="93"/>
      <c r="Y39" s="336" t="s">
        <v>190</v>
      </c>
      <c r="Z39" s="336"/>
      <c r="AA39" s="336"/>
      <c r="AB39" s="336"/>
      <c r="AC39" s="336"/>
      <c r="AH39" s="336" t="s">
        <v>190</v>
      </c>
      <c r="AI39" s="336"/>
      <c r="AJ39" s="336"/>
      <c r="AK39" s="336"/>
      <c r="AL39" s="336"/>
    </row>
    <row r="40" spans="4:50" ht="19.8" thickBot="1" x14ac:dyDescent="0.35">
      <c r="P40" s="89" t="s">
        <v>95</v>
      </c>
      <c r="Q40" s="97">
        <f>((-$X$65)-(-$M$65))/(-$X$65)</f>
        <v>0.26141050925905251</v>
      </c>
      <c r="R40" s="91"/>
      <c r="S40" s="98" t="s">
        <v>99</v>
      </c>
      <c r="T40" s="99">
        <f>($X$63-$M$63)/$X$63</f>
        <v>0.25429358042065997</v>
      </c>
      <c r="Y40" s="89" t="s">
        <v>95</v>
      </c>
      <c r="Z40" s="97">
        <f>ABS((-$X$53)-(-$M$53))/(-$X$53)</f>
        <v>0.17733972530430708</v>
      </c>
      <c r="AB40" s="98" t="s">
        <v>99</v>
      </c>
      <c r="AC40" s="99">
        <f>($M$51-$X$51)/$M$51</f>
        <v>6.4422922559868839E-2</v>
      </c>
      <c r="AH40" s="89" t="s">
        <v>95</v>
      </c>
      <c r="AI40" s="97">
        <f>ABS((-$X$77)-(-$M$77))/(-$X$77)</f>
        <v>2.6133301827059398E-2</v>
      </c>
      <c r="AK40" s="98" t="s">
        <v>99</v>
      </c>
      <c r="AL40" s="99">
        <f>($X$75-$M$75)/$X$75</f>
        <v>3.5091101784672042E-2</v>
      </c>
    </row>
    <row r="41" spans="4:50" x14ac:dyDescent="0.3">
      <c r="T41" s="100"/>
      <c r="U41" s="101"/>
    </row>
    <row r="43" spans="4:50" x14ac:dyDescent="0.3">
      <c r="T43" s="100"/>
      <c r="U43" s="100"/>
      <c r="V43" s="100"/>
      <c r="AF43" s="51" t="s">
        <v>90</v>
      </c>
    </row>
    <row r="44" spans="4:50" ht="15" thickBot="1" x14ac:dyDescent="0.35"/>
    <row r="45" spans="4:50" ht="20.399999999999999" thickBot="1" x14ac:dyDescent="0.4">
      <c r="N45" s="54"/>
      <c r="AC45" s="59"/>
      <c r="AF45" s="49" t="s">
        <v>100</v>
      </c>
      <c r="AG45" s="50" t="s">
        <v>101</v>
      </c>
      <c r="AH45" s="102" t="s">
        <v>102</v>
      </c>
      <c r="AI45" s="102" t="s">
        <v>181</v>
      </c>
      <c r="AJ45" s="127" t="s">
        <v>182</v>
      </c>
      <c r="AM45" s="331" t="s">
        <v>53</v>
      </c>
      <c r="AN45" s="337" t="s">
        <v>191</v>
      </c>
      <c r="AO45" s="338"/>
      <c r="AP45" s="337" t="s">
        <v>192</v>
      </c>
      <c r="AQ45" s="338"/>
    </row>
    <row r="46" spans="4:50" ht="19.8" thickBot="1" x14ac:dyDescent="0.35">
      <c r="D46" s="51" t="s">
        <v>103</v>
      </c>
      <c r="E46" s="51"/>
      <c r="F46" s="51"/>
      <c r="G46" s="51"/>
      <c r="H46" s="51"/>
      <c r="I46" s="51" t="s">
        <v>65</v>
      </c>
      <c r="J46" s="51" t="s">
        <v>65</v>
      </c>
      <c r="K46" s="51"/>
      <c r="M46" s="51"/>
      <c r="O46" s="51" t="s">
        <v>104</v>
      </c>
      <c r="T46" s="51" t="s">
        <v>65</v>
      </c>
      <c r="U46" s="51" t="s">
        <v>65</v>
      </c>
      <c r="AC46" s="103" t="s">
        <v>194</v>
      </c>
      <c r="AD46" s="135">
        <v>1.58556542053058</v>
      </c>
      <c r="AF46" s="128">
        <v>10000</v>
      </c>
      <c r="AG46" s="35">
        <f>LOG10(AF46)</f>
        <v>4</v>
      </c>
      <c r="AH46" s="35">
        <f>10^((AG46-($N$29*$AD$46))/($N$31*$AD$47))</f>
        <v>199.65271535946778</v>
      </c>
      <c r="AI46" s="36">
        <f>10^((AG46-$M$63)/$M$65)</f>
        <v>199.58957888720403</v>
      </c>
      <c r="AJ46" s="129">
        <f>(AI46-AH46)^2</f>
        <v>3.9862141299112685E-3</v>
      </c>
      <c r="AM46" s="332"/>
      <c r="AN46" s="149" t="s">
        <v>95</v>
      </c>
      <c r="AO46" s="147" t="s">
        <v>96</v>
      </c>
      <c r="AP46" s="148" t="s">
        <v>95</v>
      </c>
      <c r="AQ46" s="147" t="s">
        <v>96</v>
      </c>
    </row>
    <row r="47" spans="4:50" ht="20.399999999999999" thickBot="1" x14ac:dyDescent="0.35">
      <c r="D47" s="334" t="s">
        <v>0</v>
      </c>
      <c r="E47" s="64" t="s">
        <v>66</v>
      </c>
      <c r="F47" s="65" t="s">
        <v>105</v>
      </c>
      <c r="G47" s="1" t="s">
        <v>69</v>
      </c>
      <c r="H47" s="1" t="s">
        <v>1</v>
      </c>
      <c r="I47" s="1" t="s">
        <v>106</v>
      </c>
      <c r="J47" s="66" t="s">
        <v>69</v>
      </c>
      <c r="M47" s="55"/>
      <c r="O47" s="334" t="s">
        <v>0</v>
      </c>
      <c r="P47" s="64" t="s">
        <v>66</v>
      </c>
      <c r="Q47" s="65" t="s">
        <v>105</v>
      </c>
      <c r="R47" s="1" t="s">
        <v>69</v>
      </c>
      <c r="S47" s="1" t="s">
        <v>1</v>
      </c>
      <c r="T47" s="1" t="s">
        <v>106</v>
      </c>
      <c r="U47" s="66" t="s">
        <v>69</v>
      </c>
      <c r="AC47" s="104" t="s">
        <v>195</v>
      </c>
      <c r="AD47" s="136">
        <v>1.635645693769527</v>
      </c>
      <c r="AF47" s="130">
        <v>20000</v>
      </c>
      <c r="AG47" s="11">
        <f t="shared" ref="AG47:AG60" si="0">LOG10(AF47)</f>
        <v>4.3010299956639813</v>
      </c>
      <c r="AH47" s="11">
        <f t="shared" ref="AH47:AH60" si="1">10^((AG47-($N$29*$AD$46))/($N$31*$AD$47))</f>
        <v>181.31340534102233</v>
      </c>
      <c r="AI47" s="14">
        <f t="shared" ref="AI47:AI60" si="2">10^((AG47-$M$63)/$M$65)</f>
        <v>181.29485828470567</v>
      </c>
      <c r="AJ47" s="131">
        <f t="shared" ref="AJ47:AJ60" si="3">(AI47-AH47)^2</f>
        <v>3.4399329801347638E-4</v>
      </c>
      <c r="AM47" s="156" t="s">
        <v>90</v>
      </c>
      <c r="AN47" s="150">
        <v>0.38997842785773801</v>
      </c>
      <c r="AO47" s="151">
        <v>0.37040835842933512</v>
      </c>
      <c r="AP47" s="159">
        <v>0.26141050925905251</v>
      </c>
      <c r="AQ47" s="151">
        <v>0.25429358042065997</v>
      </c>
    </row>
    <row r="48" spans="4:50" ht="15" thickBot="1" x14ac:dyDescent="0.35">
      <c r="D48" s="335"/>
      <c r="E48" s="48" t="s">
        <v>73</v>
      </c>
      <c r="F48" s="38" t="s">
        <v>71</v>
      </c>
      <c r="G48" s="38" t="s">
        <v>72</v>
      </c>
      <c r="H48" s="38" t="s">
        <v>73</v>
      </c>
      <c r="I48" s="38" t="s">
        <v>71</v>
      </c>
      <c r="J48" s="39" t="s">
        <v>72</v>
      </c>
      <c r="M48" s="55"/>
      <c r="O48" s="335"/>
      <c r="P48" s="48" t="s">
        <v>70</v>
      </c>
      <c r="Q48" s="38" t="s">
        <v>71</v>
      </c>
      <c r="R48" s="38" t="s">
        <v>72</v>
      </c>
      <c r="S48" s="38" t="s">
        <v>73</v>
      </c>
      <c r="T48" s="38" t="s">
        <v>71</v>
      </c>
      <c r="U48" s="39" t="s">
        <v>72</v>
      </c>
      <c r="AC48" s="59"/>
      <c r="AF48" s="130">
        <v>30000</v>
      </c>
      <c r="AG48" s="11">
        <f t="shared" si="0"/>
        <v>4.4771212547196626</v>
      </c>
      <c r="AH48" s="11">
        <f t="shared" si="1"/>
        <v>171.37678038094955</v>
      </c>
      <c r="AI48" s="14">
        <f t="shared" si="2"/>
        <v>171.38070054275369</v>
      </c>
      <c r="AJ48" s="131">
        <f t="shared" si="3"/>
        <v>1.5367668570573846E-5</v>
      </c>
      <c r="AM48" s="157" t="s">
        <v>92</v>
      </c>
      <c r="AN48" s="152">
        <v>0.41720906000650659</v>
      </c>
      <c r="AO48" s="153">
        <v>0.38912186041904823</v>
      </c>
      <c r="AP48" s="160">
        <v>2.6133301827059398E-2</v>
      </c>
      <c r="AQ48" s="153">
        <v>3.5091101784672042E-2</v>
      </c>
    </row>
    <row r="49" spans="4:43" ht="15" thickBot="1" x14ac:dyDescent="0.35">
      <c r="D49" s="42" t="s">
        <v>107</v>
      </c>
      <c r="E49" s="6">
        <v>1.9956</v>
      </c>
      <c r="F49" s="7">
        <v>190.3888</v>
      </c>
      <c r="G49" s="2">
        <v>16033</v>
      </c>
      <c r="H49" s="3">
        <v>10481.3334</v>
      </c>
      <c r="I49" s="7">
        <v>2.2796413965628219</v>
      </c>
      <c r="J49" s="8">
        <v>4.2050147925690036</v>
      </c>
      <c r="K49" s="55"/>
      <c r="M49" s="55"/>
      <c r="O49" s="105" t="s">
        <v>108</v>
      </c>
      <c r="P49" s="106">
        <v>4.1093999999999999</v>
      </c>
      <c r="Q49" s="107">
        <v>319.85000000000002</v>
      </c>
      <c r="R49" s="108">
        <v>8644</v>
      </c>
      <c r="S49" s="107">
        <v>12848.485199999999</v>
      </c>
      <c r="T49" s="7">
        <f t="shared" ref="T49:U83" si="4">LOG(Q49)</f>
        <v>2.5049463550535815</v>
      </c>
      <c r="U49" s="8">
        <f t="shared" si="4"/>
        <v>3.9367147582112039</v>
      </c>
      <c r="AC49" s="100"/>
      <c r="AE49" s="54"/>
      <c r="AF49" s="130">
        <v>40000</v>
      </c>
      <c r="AG49" s="11">
        <f t="shared" si="0"/>
        <v>4.6020599913279625</v>
      </c>
      <c r="AH49" s="11">
        <f t="shared" si="1"/>
        <v>164.65867192023069</v>
      </c>
      <c r="AI49" s="14">
        <f t="shared" si="2"/>
        <v>164.67706291943441</v>
      </c>
      <c r="AJ49" s="131">
        <f t="shared" si="3"/>
        <v>3.3822885171112772E-4</v>
      </c>
      <c r="AK49" s="58"/>
      <c r="AM49" s="158" t="s">
        <v>91</v>
      </c>
      <c r="AN49" s="154">
        <v>0.39368272044142505</v>
      </c>
      <c r="AO49" s="155">
        <v>0.37108015887544338</v>
      </c>
      <c r="AP49" s="161">
        <v>0.17733972530430708</v>
      </c>
      <c r="AQ49" s="155">
        <v>6.4422922559868839E-2</v>
      </c>
    </row>
    <row r="50" spans="4:43" ht="15.6" thickBot="1" x14ac:dyDescent="0.35">
      <c r="D50" s="43" t="s">
        <v>109</v>
      </c>
      <c r="E50" s="13">
        <v>1.825</v>
      </c>
      <c r="F50" s="14">
        <v>202.5942</v>
      </c>
      <c r="G50" s="9">
        <v>15216</v>
      </c>
      <c r="H50" s="10">
        <v>9008.2856000000011</v>
      </c>
      <c r="I50" s="14">
        <v>2.3066270079341771</v>
      </c>
      <c r="J50" s="15">
        <v>4.1823004995933388</v>
      </c>
      <c r="K50" s="55"/>
      <c r="L50" s="55"/>
      <c r="M50" s="67" t="s">
        <v>74</v>
      </c>
      <c r="O50" s="109" t="s">
        <v>110</v>
      </c>
      <c r="P50" s="110">
        <v>3.2392000000000003</v>
      </c>
      <c r="Q50" s="111">
        <v>301.70479999999998</v>
      </c>
      <c r="R50" s="112">
        <v>14018</v>
      </c>
      <c r="S50" s="111">
        <v>10736.683399999998</v>
      </c>
      <c r="T50" s="14">
        <f t="shared" si="4"/>
        <v>2.479582219677575</v>
      </c>
      <c r="U50" s="15">
        <f t="shared" si="4"/>
        <v>4.1466860556475256</v>
      </c>
      <c r="W50" s="55"/>
      <c r="X50" s="67" t="s">
        <v>74</v>
      </c>
      <c r="AC50" s="100"/>
      <c r="AE50" s="54"/>
      <c r="AF50" s="130">
        <v>50000</v>
      </c>
      <c r="AG50" s="11">
        <f t="shared" si="0"/>
        <v>4.6989700043360187</v>
      </c>
      <c r="AH50" s="11">
        <f t="shared" si="1"/>
        <v>159.62960111728572</v>
      </c>
      <c r="AI50" s="14">
        <f t="shared" si="2"/>
        <v>159.65842846802028</v>
      </c>
      <c r="AJ50" s="131">
        <f t="shared" si="3"/>
        <v>8.3101615037329841E-4</v>
      </c>
      <c r="AK50" s="58"/>
      <c r="AL50" s="58"/>
    </row>
    <row r="51" spans="4:43" ht="15.6" x14ac:dyDescent="0.3">
      <c r="D51" s="43" t="s">
        <v>111</v>
      </c>
      <c r="E51" s="13">
        <v>2.0005999999999999</v>
      </c>
      <c r="F51" s="14">
        <v>191.584</v>
      </c>
      <c r="G51" s="9">
        <v>21054</v>
      </c>
      <c r="H51" s="10">
        <v>10443.7268</v>
      </c>
      <c r="I51" s="14">
        <v>2.2823592364655907</v>
      </c>
      <c r="J51" s="15">
        <v>4.3233346185990502</v>
      </c>
      <c r="K51" s="55"/>
      <c r="L51" s="70" t="s">
        <v>13</v>
      </c>
      <c r="M51" s="71">
        <f>INTERCEPT(J49:J60,$I49:$I60)</f>
        <v>18.849301429865694</v>
      </c>
      <c r="O51" s="109" t="s">
        <v>112</v>
      </c>
      <c r="P51" s="110">
        <v>2.8253999999999997</v>
      </c>
      <c r="Q51" s="111">
        <v>246.39420000000001</v>
      </c>
      <c r="R51" s="112">
        <v>18765</v>
      </c>
      <c r="S51" s="111">
        <v>11466.537800000002</v>
      </c>
      <c r="T51" s="14">
        <f t="shared" si="4"/>
        <v>2.3916304805311794</v>
      </c>
      <c r="U51" s="15">
        <f t="shared" si="4"/>
        <v>4.2733485687491015</v>
      </c>
      <c r="W51" s="70" t="s">
        <v>13</v>
      </c>
      <c r="X51" s="71">
        <f>INTERCEPT(U49:U59,$T49:$T59)</f>
        <v>17.634974343541831</v>
      </c>
      <c r="AC51" s="57"/>
      <c r="AE51" s="54"/>
      <c r="AF51" s="130">
        <v>60000</v>
      </c>
      <c r="AG51" s="11">
        <f t="shared" si="0"/>
        <v>4.7781512503836439</v>
      </c>
      <c r="AH51" s="11">
        <f t="shared" si="1"/>
        <v>155.63478608996002</v>
      </c>
      <c r="AI51" s="14">
        <f t="shared" si="2"/>
        <v>155.67165375498513</v>
      </c>
      <c r="AJ51" s="131">
        <f t="shared" si="3"/>
        <v>1.3592247244039539E-3</v>
      </c>
      <c r="AK51" s="58"/>
      <c r="AL51" s="58"/>
      <c r="AM51" s="331" t="s">
        <v>53</v>
      </c>
      <c r="AN51" s="337" t="s">
        <v>191</v>
      </c>
      <c r="AO51" s="338"/>
    </row>
    <row r="52" spans="4:43" ht="16.2" thickBot="1" x14ac:dyDescent="0.35">
      <c r="D52" s="43" t="s">
        <v>113</v>
      </c>
      <c r="E52" s="13">
        <v>1.8009999999999999</v>
      </c>
      <c r="F52" s="14">
        <v>176</v>
      </c>
      <c r="G52" s="9">
        <v>30000</v>
      </c>
      <c r="H52" s="10">
        <v>10234.14</v>
      </c>
      <c r="I52" s="14">
        <v>2.2455126678141499</v>
      </c>
      <c r="J52" s="15">
        <v>4.4771212547196626</v>
      </c>
      <c r="K52" s="55"/>
      <c r="L52" s="74" t="s">
        <v>14</v>
      </c>
      <c r="M52" s="75">
        <f>10^M51</f>
        <v>7.0680795678205297E+18</v>
      </c>
      <c r="O52" s="109" t="s">
        <v>114</v>
      </c>
      <c r="P52" s="110">
        <v>3.3823999999999996</v>
      </c>
      <c r="Q52" s="111">
        <v>298.96919999999994</v>
      </c>
      <c r="R52" s="112">
        <v>24548</v>
      </c>
      <c r="S52" s="111">
        <v>11312.934400000002</v>
      </c>
      <c r="T52" s="14">
        <f t="shared" si="4"/>
        <v>2.4756264493310018</v>
      </c>
      <c r="U52" s="15">
        <f t="shared" si="4"/>
        <v>4.3900161146118943</v>
      </c>
      <c r="W52" s="74" t="s">
        <v>14</v>
      </c>
      <c r="X52" s="75">
        <f>10^X51</f>
        <v>4.3149358508290682E+17</v>
      </c>
      <c r="AC52" s="57"/>
      <c r="AE52" s="54"/>
      <c r="AF52" s="130">
        <v>70000</v>
      </c>
      <c r="AG52" s="11">
        <f t="shared" si="0"/>
        <v>4.8450980400142569</v>
      </c>
      <c r="AH52" s="11">
        <f t="shared" si="1"/>
        <v>152.33531469719071</v>
      </c>
      <c r="AI52" s="14">
        <f t="shared" si="2"/>
        <v>152.37865203252204</v>
      </c>
      <c r="AJ52" s="131">
        <f t="shared" si="3"/>
        <v>1.8781246336201432E-3</v>
      </c>
      <c r="AK52" s="58"/>
      <c r="AL52" s="58"/>
      <c r="AM52" s="332"/>
      <c r="AN52" s="148" t="s">
        <v>193</v>
      </c>
      <c r="AO52" s="147" t="s">
        <v>196</v>
      </c>
    </row>
    <row r="53" spans="4:43" ht="15.6" x14ac:dyDescent="0.3">
      <c r="D53" s="43" t="s">
        <v>115</v>
      </c>
      <c r="E53" s="13">
        <v>1.7988</v>
      </c>
      <c r="F53" s="14">
        <v>172.87979999999999</v>
      </c>
      <c r="G53" s="9">
        <v>31867</v>
      </c>
      <c r="H53" s="10">
        <v>10405.259399999999</v>
      </c>
      <c r="I53" s="14">
        <v>2.2377442514518471</v>
      </c>
      <c r="J53" s="15">
        <v>4.5033411803619865</v>
      </c>
      <c r="K53" s="55"/>
      <c r="L53" s="74" t="s">
        <v>15</v>
      </c>
      <c r="M53" s="76">
        <f>SLOPE(J49:J60,$I49:$I60)</f>
        <v>-6.3928412093728406</v>
      </c>
      <c r="O53" s="109" t="s">
        <v>116</v>
      </c>
      <c r="P53" s="110">
        <v>2.7215999999999996</v>
      </c>
      <c r="Q53" s="111">
        <v>244.77960000000002</v>
      </c>
      <c r="R53" s="112">
        <v>74703</v>
      </c>
      <c r="S53" s="111">
        <v>11118.9776</v>
      </c>
      <c r="T53" s="14">
        <f t="shared" si="4"/>
        <v>2.3887752207586477</v>
      </c>
      <c r="U53" s="15">
        <f t="shared" si="4"/>
        <v>4.8733380430106346</v>
      </c>
      <c r="W53" s="74" t="s">
        <v>15</v>
      </c>
      <c r="X53" s="76">
        <f>SLOPE(U49:U59,$T49:$T59)</f>
        <v>-5.4299035970441603</v>
      </c>
      <c r="AC53" s="57"/>
      <c r="AE53" s="54"/>
      <c r="AF53" s="130">
        <v>80000</v>
      </c>
      <c r="AG53" s="11">
        <f t="shared" si="0"/>
        <v>4.9030899869919438</v>
      </c>
      <c r="AH53" s="11">
        <f t="shared" si="1"/>
        <v>149.53377654310688</v>
      </c>
      <c r="AI53" s="14">
        <f t="shared" si="2"/>
        <v>149.58248296917722</v>
      </c>
      <c r="AJ53" s="131">
        <f t="shared" si="3"/>
        <v>2.3723159405454131E-3</v>
      </c>
      <c r="AK53" s="58"/>
      <c r="AL53" s="58"/>
      <c r="AM53" s="146" t="s">
        <v>90</v>
      </c>
      <c r="AN53" s="159">
        <v>1.58556542053058</v>
      </c>
      <c r="AO53" s="151">
        <v>1.635645693769527</v>
      </c>
    </row>
    <row r="54" spans="4:43" ht="16.2" thickBot="1" x14ac:dyDescent="0.35">
      <c r="D54" s="43" t="s">
        <v>117</v>
      </c>
      <c r="E54" s="13">
        <v>1.9006000000000001</v>
      </c>
      <c r="F54" s="14">
        <v>154.8176</v>
      </c>
      <c r="G54" s="9">
        <v>50505</v>
      </c>
      <c r="H54" s="10">
        <v>12275.107400000001</v>
      </c>
      <c r="I54" s="14">
        <v>2.1898203306905142</v>
      </c>
      <c r="J54" s="15">
        <v>4.7033343754437702</v>
      </c>
      <c r="K54" s="55"/>
      <c r="L54" s="77" t="s">
        <v>59</v>
      </c>
      <c r="M54" s="78">
        <f>10^((6-M51)/M53)</f>
        <v>102.31789622480628</v>
      </c>
      <c r="O54" s="109" t="s">
        <v>118</v>
      </c>
      <c r="P54" s="110">
        <v>2.2944</v>
      </c>
      <c r="Q54" s="111">
        <v>200.33159999999998</v>
      </c>
      <c r="R54" s="112">
        <v>123343</v>
      </c>
      <c r="S54" s="111">
        <v>11452.667799999999</v>
      </c>
      <c r="T54" s="14">
        <f t="shared" si="4"/>
        <v>2.3017494596440158</v>
      </c>
      <c r="U54" s="15">
        <f t="shared" si="4"/>
        <v>5.0911145073106603</v>
      </c>
      <c r="W54" s="77" t="s">
        <v>59</v>
      </c>
      <c r="X54" s="78">
        <f>10^((6-X51)/X53)</f>
        <v>138.91812585939871</v>
      </c>
      <c r="AC54" s="57"/>
      <c r="AE54" s="54"/>
      <c r="AF54" s="130">
        <v>90000</v>
      </c>
      <c r="AG54" s="11">
        <f t="shared" si="0"/>
        <v>4.9542425094393252</v>
      </c>
      <c r="AH54" s="11">
        <f t="shared" si="1"/>
        <v>147.10544157068199</v>
      </c>
      <c r="AI54" s="14">
        <f t="shared" si="2"/>
        <v>147.15870779568081</v>
      </c>
      <c r="AJ54" s="131">
        <f t="shared" si="3"/>
        <v>2.8372907256251356E-3</v>
      </c>
      <c r="AK54" s="58"/>
      <c r="AL54" s="58"/>
      <c r="AM54" s="43" t="s">
        <v>92</v>
      </c>
      <c r="AN54" s="160">
        <v>1.6363498629509798</v>
      </c>
      <c r="AO54" s="153">
        <v>1.714955369072146</v>
      </c>
    </row>
    <row r="55" spans="4:43" ht="15" thickBot="1" x14ac:dyDescent="0.35">
      <c r="D55" s="43" t="s">
        <v>119</v>
      </c>
      <c r="E55" s="13">
        <v>1.748</v>
      </c>
      <c r="F55" s="14">
        <v>135.8852</v>
      </c>
      <c r="G55" s="9">
        <v>143073</v>
      </c>
      <c r="H55" s="10">
        <v>12862.4944</v>
      </c>
      <c r="I55" s="14">
        <v>2.1331721579219738</v>
      </c>
      <c r="J55" s="15">
        <v>5.155557683673317</v>
      </c>
      <c r="K55" s="55"/>
      <c r="O55" s="109" t="s">
        <v>120</v>
      </c>
      <c r="P55" s="110">
        <v>2.4492000000000003</v>
      </c>
      <c r="Q55" s="111">
        <v>198.80839999999998</v>
      </c>
      <c r="R55" s="112">
        <v>232631</v>
      </c>
      <c r="S55" s="111">
        <v>12319.3848</v>
      </c>
      <c r="T55" s="14">
        <f t="shared" si="4"/>
        <v>2.2984347301446859</v>
      </c>
      <c r="U55" s="15">
        <f t="shared" si="4"/>
        <v>5.3666675875715466</v>
      </c>
      <c r="AC55" s="57"/>
      <c r="AE55" s="54"/>
      <c r="AF55" s="130">
        <v>100000</v>
      </c>
      <c r="AG55" s="11">
        <f t="shared" si="0"/>
        <v>5</v>
      </c>
      <c r="AH55" s="11">
        <f t="shared" si="1"/>
        <v>144.96665632467494</v>
      </c>
      <c r="AI55" s="14">
        <f t="shared" si="2"/>
        <v>145.02386509581578</v>
      </c>
      <c r="AJ55" s="131">
        <f t="shared" si="3"/>
        <v>3.2728434954445245E-3</v>
      </c>
      <c r="AK55" s="58"/>
      <c r="AL55" s="58"/>
      <c r="AM55" s="44" t="s">
        <v>91</v>
      </c>
      <c r="AN55" s="161">
        <v>1.5899623961931486</v>
      </c>
      <c r="AO55" s="155">
        <v>1.649230534790227</v>
      </c>
    </row>
    <row r="56" spans="4:43" ht="15" thickBot="1" x14ac:dyDescent="0.35">
      <c r="D56" s="43" t="s">
        <v>121</v>
      </c>
      <c r="E56" s="13">
        <v>1.3495999999999999</v>
      </c>
      <c r="F56" s="14">
        <v>125.80019999999999</v>
      </c>
      <c r="G56" s="9">
        <v>216549</v>
      </c>
      <c r="H56" s="10">
        <v>10728.824799999999</v>
      </c>
      <c r="I56" s="14">
        <v>2.0996813315609777</v>
      </c>
      <c r="J56" s="15">
        <v>5.3355561825452673</v>
      </c>
      <c r="K56" s="55"/>
      <c r="M56" s="55"/>
      <c r="O56" s="109" t="s">
        <v>122</v>
      </c>
      <c r="P56" s="110">
        <v>1.5646</v>
      </c>
      <c r="Q56" s="111">
        <v>145.47120000000001</v>
      </c>
      <c r="R56" s="112">
        <v>291370</v>
      </c>
      <c r="S56" s="111">
        <v>10754.386600000002</v>
      </c>
      <c r="T56" s="14">
        <f t="shared" si="4"/>
        <v>2.1627770213692403</v>
      </c>
      <c r="U56" s="15">
        <f t="shared" si="4"/>
        <v>5.4644448339639276</v>
      </c>
      <c r="AC56" s="57"/>
      <c r="AE56" s="54"/>
      <c r="AF56" s="130">
        <v>110000</v>
      </c>
      <c r="AG56" s="11">
        <f t="shared" si="0"/>
        <v>5.0413926851582254</v>
      </c>
      <c r="AH56" s="11">
        <f t="shared" si="1"/>
        <v>143.05869033413816</v>
      </c>
      <c r="AI56" s="14">
        <f>10^((AG56-$M$63)/$M$65)</f>
        <v>143.11935716439885</v>
      </c>
      <c r="AJ56" s="131">
        <f t="shared" si="3"/>
        <v>3.6804642938789243E-3</v>
      </c>
      <c r="AK56" s="58"/>
      <c r="AL56" s="58"/>
    </row>
    <row r="57" spans="4:43" ht="20.399999999999999" thickBot="1" x14ac:dyDescent="0.35">
      <c r="D57" s="43" t="s">
        <v>123</v>
      </c>
      <c r="E57" s="13">
        <v>1.2495999999999998</v>
      </c>
      <c r="F57" s="14">
        <v>119.36660000000002</v>
      </c>
      <c r="G57" s="9">
        <v>236230</v>
      </c>
      <c r="H57" s="10">
        <v>10468.674999999999</v>
      </c>
      <c r="I57" s="14">
        <v>2.0768828237373098</v>
      </c>
      <c r="J57" s="15">
        <v>5.3733350499545685</v>
      </c>
      <c r="K57" s="55"/>
      <c r="M57" s="55"/>
      <c r="O57" s="109" t="s">
        <v>124</v>
      </c>
      <c r="P57" s="110">
        <v>1.6039999999999999</v>
      </c>
      <c r="Q57" s="111">
        <v>149.971</v>
      </c>
      <c r="R57" s="112">
        <v>348516</v>
      </c>
      <c r="S57" s="111">
        <v>10696.128000000001</v>
      </c>
      <c r="T57" s="14">
        <f t="shared" si="4"/>
        <v>2.1760072873383192</v>
      </c>
      <c r="U57" s="15">
        <f t="shared" si="4"/>
        <v>5.5422227208908543</v>
      </c>
      <c r="AC57" s="57"/>
      <c r="AE57" s="54"/>
      <c r="AF57" s="130">
        <v>120000</v>
      </c>
      <c r="AG57" s="11">
        <f t="shared" si="0"/>
        <v>5.0791812460476251</v>
      </c>
      <c r="AH57" s="11">
        <f t="shared" si="1"/>
        <v>141.3387892305168</v>
      </c>
      <c r="AI57" s="14">
        <f t="shared" si="2"/>
        <v>141.40252494047013</v>
      </c>
      <c r="AJ57" s="131">
        <f t="shared" si="3"/>
        <v>4.0622407232556029E-3</v>
      </c>
      <c r="AK57" s="58"/>
      <c r="AL57" s="58"/>
      <c r="AM57" s="49" t="s">
        <v>16</v>
      </c>
      <c r="AN57" s="165" t="s">
        <v>197</v>
      </c>
    </row>
    <row r="58" spans="4:43" x14ac:dyDescent="0.3">
      <c r="D58" s="43" t="s">
        <v>125</v>
      </c>
      <c r="E58" s="13">
        <v>1.3874</v>
      </c>
      <c r="F58" s="14">
        <v>131.36999999999998</v>
      </c>
      <c r="G58" s="9">
        <v>503759</v>
      </c>
      <c r="H58" s="10">
        <v>10560.5134</v>
      </c>
      <c r="I58" s="14">
        <v>2.1184961999117879</v>
      </c>
      <c r="J58" s="15">
        <v>5.7022228181872237</v>
      </c>
      <c r="K58" s="55"/>
      <c r="M58" s="55"/>
      <c r="O58" s="109" t="s">
        <v>126</v>
      </c>
      <c r="P58" s="110">
        <v>1.8887999999999998</v>
      </c>
      <c r="Q58" s="111">
        <v>159.4348</v>
      </c>
      <c r="R58" s="112">
        <v>471339</v>
      </c>
      <c r="S58" s="111">
        <v>11846.869000000002</v>
      </c>
      <c r="T58" s="14">
        <f t="shared" si="4"/>
        <v>2.2025831213162803</v>
      </c>
      <c r="U58" s="15">
        <f t="shared" si="4"/>
        <v>5.6733333760720601</v>
      </c>
      <c r="AC58" s="57"/>
      <c r="AE58" s="54"/>
      <c r="AF58" s="130">
        <v>130000</v>
      </c>
      <c r="AG58" s="11">
        <f t="shared" si="0"/>
        <v>5.1139433523068369</v>
      </c>
      <c r="AH58" s="11">
        <f t="shared" si="1"/>
        <v>139.77489899121193</v>
      </c>
      <c r="AI58" s="14">
        <f t="shared" si="2"/>
        <v>139.84138494388685</v>
      </c>
      <c r="AJ58" s="131">
        <f t="shared" si="3"/>
        <v>4.4203819030922287E-3</v>
      </c>
      <c r="AK58" s="58"/>
      <c r="AL58" s="58"/>
      <c r="AM58" s="146" t="s">
        <v>90</v>
      </c>
      <c r="AN58" s="164">
        <f>(X66-M66)/X66</f>
        <v>0.3547859534145284</v>
      </c>
    </row>
    <row r="59" spans="4:43" ht="15" thickBot="1" x14ac:dyDescent="0.35">
      <c r="D59" s="43" t="s">
        <v>127</v>
      </c>
      <c r="E59" s="13">
        <v>1.1270000000000002</v>
      </c>
      <c r="F59" s="14">
        <v>107.08759999999999</v>
      </c>
      <c r="G59" s="9">
        <v>677815</v>
      </c>
      <c r="H59" s="10">
        <v>10523.198200000001</v>
      </c>
      <c r="I59" s="14">
        <v>2.0297391854597646</v>
      </c>
      <c r="J59" s="15">
        <v>5.8311111755151481</v>
      </c>
      <c r="K59" s="55"/>
      <c r="M59" s="55"/>
      <c r="O59" s="113" t="s">
        <v>128</v>
      </c>
      <c r="P59" s="114">
        <v>1.5640000000000001</v>
      </c>
      <c r="Q59" s="115">
        <v>144.91720000000001</v>
      </c>
      <c r="R59" s="116">
        <v>3384873</v>
      </c>
      <c r="S59" s="115">
        <v>10791.4198</v>
      </c>
      <c r="T59" s="28">
        <f t="shared" si="4"/>
        <v>2.1611199342757144</v>
      </c>
      <c r="U59" s="29">
        <f t="shared" si="4"/>
        <v>6.529542378653689</v>
      </c>
      <c r="AC59" s="57"/>
      <c r="AE59" s="54"/>
      <c r="AF59" s="130">
        <v>140000</v>
      </c>
      <c r="AG59" s="11">
        <f t="shared" si="0"/>
        <v>5.1461280356782382</v>
      </c>
      <c r="AH59" s="11">
        <f t="shared" si="1"/>
        <v>138.34239425050782</v>
      </c>
      <c r="AI59" s="14">
        <f t="shared" si="2"/>
        <v>138.41136536223073</v>
      </c>
      <c r="AJ59" s="131">
        <f t="shared" si="3"/>
        <v>4.7570142522930818E-3</v>
      </c>
      <c r="AM59" s="43" t="s">
        <v>92</v>
      </c>
      <c r="AN59" s="162">
        <f>(X78-M78)/X78</f>
        <v>0.31245208826931442</v>
      </c>
    </row>
    <row r="60" spans="4:43" ht="15" thickBot="1" x14ac:dyDescent="0.35">
      <c r="D60" s="44" t="s">
        <v>129</v>
      </c>
      <c r="E60" s="117">
        <v>1.1930000000000001</v>
      </c>
      <c r="F60" s="28">
        <v>110.1176</v>
      </c>
      <c r="G60" s="23">
        <v>831764</v>
      </c>
      <c r="H60" s="24">
        <v>10833.806999999999</v>
      </c>
      <c r="I60" s="28">
        <v>2.0418567374278402</v>
      </c>
      <c r="J60" s="29">
        <v>5.9200001195157048</v>
      </c>
      <c r="K60" s="55"/>
      <c r="M60" s="55"/>
      <c r="O60" s="81" t="s">
        <v>130</v>
      </c>
      <c r="P60" s="69">
        <v>2.0143999999999997</v>
      </c>
      <c r="Q60" s="5">
        <v>249.9862</v>
      </c>
      <c r="R60" s="2">
        <v>10116</v>
      </c>
      <c r="S60" s="5">
        <v>8057.4043999999994</v>
      </c>
      <c r="T60" s="7">
        <f t="shared" si="4"/>
        <v>2.3979160349549558</v>
      </c>
      <c r="U60" s="8">
        <f t="shared" si="4"/>
        <v>4.0050088206723675</v>
      </c>
      <c r="AC60" s="57"/>
      <c r="AE60" s="54"/>
      <c r="AF60" s="132">
        <v>150000</v>
      </c>
      <c r="AG60" s="25">
        <f t="shared" si="0"/>
        <v>5.1760912590556813</v>
      </c>
      <c r="AH60" s="25">
        <f t="shared" si="1"/>
        <v>137.02196358171562</v>
      </c>
      <c r="AI60" s="28">
        <f t="shared" si="2"/>
        <v>137.09319630293928</v>
      </c>
      <c r="AJ60" s="133">
        <f t="shared" si="3"/>
        <v>5.0741005729264725E-3</v>
      </c>
      <c r="AL60" s="101"/>
      <c r="AM60" s="44" t="s">
        <v>91</v>
      </c>
      <c r="AN60" s="163">
        <f>(X54-M54)/X54</f>
        <v>0.2634661921053853</v>
      </c>
    </row>
    <row r="61" spans="4:43" ht="15" thickBot="1" x14ac:dyDescent="0.35">
      <c r="D61" s="81" t="s">
        <v>131</v>
      </c>
      <c r="E61" s="6">
        <v>1.7165999999999997</v>
      </c>
      <c r="F61" s="7">
        <v>205.53220000000002</v>
      </c>
      <c r="G61" s="2">
        <v>3951</v>
      </c>
      <c r="H61" s="3">
        <v>8353.0162</v>
      </c>
      <c r="I61" s="7">
        <v>2.3128798709168383</v>
      </c>
      <c r="J61" s="8">
        <v>3.5967070296814461</v>
      </c>
      <c r="K61" s="55"/>
      <c r="M61" s="55"/>
      <c r="O61" s="118" t="s">
        <v>132</v>
      </c>
      <c r="P61" s="119">
        <v>2.4055999999999997</v>
      </c>
      <c r="Q61" s="111">
        <v>224.09440000000001</v>
      </c>
      <c r="R61" s="112">
        <v>13183</v>
      </c>
      <c r="S61" s="111">
        <v>10735.362000000001</v>
      </c>
      <c r="T61" s="14">
        <f t="shared" si="4"/>
        <v>2.3504310038822891</v>
      </c>
      <c r="U61" s="15">
        <f t="shared" si="4"/>
        <v>4.1200142520780672</v>
      </c>
      <c r="AC61" s="57"/>
      <c r="AE61" s="54"/>
    </row>
    <row r="62" spans="4:43" ht="16.8" thickBot="1" x14ac:dyDescent="0.35">
      <c r="D62" s="82" t="s">
        <v>133</v>
      </c>
      <c r="E62" s="13">
        <v>1.7388000000000001</v>
      </c>
      <c r="F62" s="14">
        <v>206.87899999999999</v>
      </c>
      <c r="G62" s="9">
        <v>4479</v>
      </c>
      <c r="H62" s="10">
        <v>8405.0695999999989</v>
      </c>
      <c r="I62" s="14">
        <v>2.3157164082733086</v>
      </c>
      <c r="J62" s="15">
        <v>3.6511810624446879</v>
      </c>
      <c r="K62" s="55"/>
      <c r="L62" s="55"/>
      <c r="M62" s="67" t="s">
        <v>74</v>
      </c>
      <c r="O62" s="82" t="s">
        <v>134</v>
      </c>
      <c r="P62" s="73">
        <v>2.1624000000000003</v>
      </c>
      <c r="Q62" s="12">
        <v>248.44639999999998</v>
      </c>
      <c r="R62" s="9">
        <v>22217</v>
      </c>
      <c r="S62" s="12">
        <v>8702.8313999999991</v>
      </c>
      <c r="T62" s="14">
        <f t="shared" si="4"/>
        <v>2.3952327081797118</v>
      </c>
      <c r="U62" s="15">
        <f t="shared" si="4"/>
        <v>4.346685415027574</v>
      </c>
      <c r="W62" s="55"/>
      <c r="X62" s="67" t="s">
        <v>74</v>
      </c>
      <c r="AC62" s="57"/>
      <c r="AE62" s="54"/>
      <c r="AI62" s="134" t="s">
        <v>183</v>
      </c>
      <c r="AJ62" s="121">
        <f>SUM(AJ46:AJ60)</f>
        <v>3.922882136366522E-2</v>
      </c>
    </row>
    <row r="63" spans="4:43" ht="15.6" x14ac:dyDescent="0.3">
      <c r="D63" s="82" t="s">
        <v>136</v>
      </c>
      <c r="E63" s="13">
        <v>1.9982</v>
      </c>
      <c r="F63" s="14">
        <v>200.7878</v>
      </c>
      <c r="G63" s="9">
        <v>10392</v>
      </c>
      <c r="H63" s="10">
        <v>9952.3140000000003</v>
      </c>
      <c r="I63" s="14">
        <v>2.3027373212536446</v>
      </c>
      <c r="J63" s="15">
        <v>4.016699138064971</v>
      </c>
      <c r="K63" s="55"/>
      <c r="L63" s="70" t="s">
        <v>13</v>
      </c>
      <c r="M63" s="71">
        <f>INTERCEPT(J61:J73,$I61:$I73)</f>
        <v>20.583739167547844</v>
      </c>
      <c r="O63" s="118" t="s">
        <v>137</v>
      </c>
      <c r="P63" s="119">
        <v>2.1017999999999999</v>
      </c>
      <c r="Q63" s="111">
        <v>240.27260000000001</v>
      </c>
      <c r="R63" s="112">
        <v>21380</v>
      </c>
      <c r="S63" s="111">
        <v>8747.1471999999994</v>
      </c>
      <c r="T63" s="14">
        <f t="shared" si="4"/>
        <v>2.3807042479271607</v>
      </c>
      <c r="U63" s="15">
        <f t="shared" si="4"/>
        <v>4.3300077008727591</v>
      </c>
      <c r="W63" s="70" t="s">
        <v>13</v>
      </c>
      <c r="X63" s="71">
        <f>INTERCEPT(U60:U70,$T60:$T70)</f>
        <v>27.603006527903197</v>
      </c>
      <c r="AC63" s="57"/>
      <c r="AF63" s="58"/>
    </row>
    <row r="64" spans="4:43" x14ac:dyDescent="0.3">
      <c r="D64" s="82" t="s">
        <v>138</v>
      </c>
      <c r="E64" s="13">
        <v>1.889</v>
      </c>
      <c r="F64" s="14">
        <v>187.7346</v>
      </c>
      <c r="G64" s="9">
        <v>39055</v>
      </c>
      <c r="H64" s="10">
        <v>10062.999200000002</v>
      </c>
      <c r="I64" s="14">
        <v>2.2735443216584699</v>
      </c>
      <c r="J64" s="15">
        <v>4.5916766421416844</v>
      </c>
      <c r="K64" s="55"/>
      <c r="L64" s="74" t="s">
        <v>14</v>
      </c>
      <c r="M64" s="75">
        <f>10^M63</f>
        <v>3.8347686436270945E+20</v>
      </c>
      <c r="O64" s="118" t="s">
        <v>139</v>
      </c>
      <c r="P64" s="119">
        <v>1.9080000000000001</v>
      </c>
      <c r="Q64" s="111">
        <v>250.66239999999999</v>
      </c>
      <c r="R64" s="112">
        <v>22388</v>
      </c>
      <c r="S64" s="111">
        <v>7611.8253999999997</v>
      </c>
      <c r="T64" s="14">
        <f t="shared" si="4"/>
        <v>2.399089193562566</v>
      </c>
      <c r="U64" s="15">
        <f t="shared" si="4"/>
        <v>4.350015298234692</v>
      </c>
      <c r="W64" s="74" t="s">
        <v>14</v>
      </c>
      <c r="X64" s="75">
        <f>10^X63</f>
        <v>4.0087274312130405E+27</v>
      </c>
      <c r="AC64" s="57"/>
      <c r="AF64" s="58"/>
    </row>
    <row r="65" spans="4:36" ht="15.6" x14ac:dyDescent="0.3">
      <c r="D65" s="82" t="s">
        <v>140</v>
      </c>
      <c r="E65" s="13">
        <v>1.6939999999999997</v>
      </c>
      <c r="F65" s="14">
        <v>171.62020000000001</v>
      </c>
      <c r="G65" s="9">
        <v>51090</v>
      </c>
      <c r="H65" s="10">
        <v>9870.1075999999994</v>
      </c>
      <c r="I65" s="14">
        <v>2.2345684037471285</v>
      </c>
      <c r="J65" s="15">
        <v>4.7083359026822631</v>
      </c>
      <c r="K65" s="55"/>
      <c r="L65" s="74" t="s">
        <v>15</v>
      </c>
      <c r="M65" s="76">
        <f>SLOPE(J61:J73,$I61:$I73)</f>
        <v>-7.209889216900609</v>
      </c>
      <c r="O65" s="82" t="s">
        <v>141</v>
      </c>
      <c r="P65" s="73">
        <v>2.2515999999999998</v>
      </c>
      <c r="Q65" s="12">
        <v>226.21559999999999</v>
      </c>
      <c r="R65" s="9">
        <v>77924</v>
      </c>
      <c r="S65" s="12">
        <v>9952.5634000000009</v>
      </c>
      <c r="T65" s="14">
        <f t="shared" si="4"/>
        <v>2.3545225509002585</v>
      </c>
      <c r="U65" s="15">
        <f t="shared" si="4"/>
        <v>4.8916712376762623</v>
      </c>
      <c r="W65" s="74" t="s">
        <v>15</v>
      </c>
      <c r="X65" s="76">
        <f>SLOPE(U60:U70,$T60:$T70)</f>
        <v>-9.7617002506598105</v>
      </c>
      <c r="AC65" s="57"/>
      <c r="AF65" s="122" t="s">
        <v>92</v>
      </c>
    </row>
    <row r="66" spans="4:36" ht="16.2" thickBot="1" x14ac:dyDescent="0.35">
      <c r="D66" s="82" t="s">
        <v>142</v>
      </c>
      <c r="E66" s="13">
        <v>1.3879999999999999</v>
      </c>
      <c r="F66" s="14">
        <v>151.19199999999998</v>
      </c>
      <c r="G66" s="9">
        <v>67609</v>
      </c>
      <c r="H66" s="10">
        <v>9180.5671999999995</v>
      </c>
      <c r="I66" s="14">
        <v>2.1795288120132521</v>
      </c>
      <c r="J66" s="15">
        <v>4.8300045123642539</v>
      </c>
      <c r="K66" s="55"/>
      <c r="L66" s="77" t="s">
        <v>59</v>
      </c>
      <c r="M66" s="78">
        <f>10^((6-M63)/M65)</f>
        <v>105.37584960392819</v>
      </c>
      <c r="O66" s="118" t="s">
        <v>143</v>
      </c>
      <c r="P66" s="119">
        <v>1.9780000000000002</v>
      </c>
      <c r="Q66" s="111">
        <v>199.47579999999999</v>
      </c>
      <c r="R66" s="112">
        <v>160120</v>
      </c>
      <c r="S66" s="111">
        <v>9916.5726000000013</v>
      </c>
      <c r="T66" s="14">
        <f t="shared" si="4"/>
        <v>2.2998902154916503</v>
      </c>
      <c r="U66" s="15">
        <f t="shared" si="4"/>
        <v>5.2044455814330677</v>
      </c>
      <c r="W66" s="77" t="s">
        <v>59</v>
      </c>
      <c r="X66" s="78">
        <f>10^((6-X63)/X65)</f>
        <v>163.31921191360647</v>
      </c>
      <c r="AC66" s="57"/>
      <c r="AF66" s="58"/>
    </row>
    <row r="67" spans="4:36" ht="20.399999999999999" thickBot="1" x14ac:dyDescent="0.4">
      <c r="D67" s="82" t="s">
        <v>144</v>
      </c>
      <c r="E67" s="13">
        <v>1.2921999999999998</v>
      </c>
      <c r="F67" s="14">
        <v>127.48979999999999</v>
      </c>
      <c r="G67" s="9">
        <v>168526</v>
      </c>
      <c r="H67" s="10">
        <v>10136.7158</v>
      </c>
      <c r="I67" s="14">
        <v>2.1054754398216051</v>
      </c>
      <c r="J67" s="15">
        <v>5.2266669128361567</v>
      </c>
      <c r="K67" s="55"/>
      <c r="M67" s="55"/>
      <c r="O67" s="118" t="s">
        <v>145</v>
      </c>
      <c r="P67" s="119">
        <v>1.9232</v>
      </c>
      <c r="Q67" s="111">
        <v>198.2268</v>
      </c>
      <c r="R67" s="112">
        <v>257699</v>
      </c>
      <c r="S67" s="111">
        <v>9701.0966000000008</v>
      </c>
      <c r="T67" s="14">
        <f t="shared" si="4"/>
        <v>2.2971623701557382</v>
      </c>
      <c r="U67" s="15">
        <f t="shared" si="4"/>
        <v>5.4111127332760711</v>
      </c>
      <c r="AC67" s="59"/>
      <c r="AF67" s="49" t="s">
        <v>100</v>
      </c>
      <c r="AG67" s="50" t="s">
        <v>101</v>
      </c>
      <c r="AH67" s="102" t="s">
        <v>102</v>
      </c>
      <c r="AI67" s="102" t="s">
        <v>181</v>
      </c>
      <c r="AJ67" s="127" t="s">
        <v>182</v>
      </c>
    </row>
    <row r="68" spans="4:36" ht="15.6" x14ac:dyDescent="0.3">
      <c r="D68" s="82" t="s">
        <v>146</v>
      </c>
      <c r="E68" s="13">
        <v>1.3946000000000001</v>
      </c>
      <c r="F68" s="14">
        <v>130.32599999999996</v>
      </c>
      <c r="G68" s="9">
        <v>248632</v>
      </c>
      <c r="H68" s="10">
        <v>10699.894600000001</v>
      </c>
      <c r="I68" s="14">
        <v>2.1150310659820661</v>
      </c>
      <c r="J68" s="15">
        <v>5.3955570234570889</v>
      </c>
      <c r="K68" s="55"/>
      <c r="L68" s="59"/>
      <c r="M68" s="55"/>
      <c r="O68" s="82" t="s">
        <v>147</v>
      </c>
      <c r="P68" s="73">
        <v>1.8576000000000001</v>
      </c>
      <c r="Q68" s="12">
        <v>179.39119999999997</v>
      </c>
      <c r="R68" s="9">
        <v>363079</v>
      </c>
      <c r="S68" s="12">
        <v>10354.867</v>
      </c>
      <c r="T68" s="14">
        <f t="shared" si="4"/>
        <v>2.2538011350002813</v>
      </c>
      <c r="U68" s="15">
        <f t="shared" si="4"/>
        <v>5.5600011306318002</v>
      </c>
      <c r="AC68" s="103" t="s">
        <v>194</v>
      </c>
      <c r="AD68" s="135">
        <v>1.6363498629509798</v>
      </c>
      <c r="AF68" s="128">
        <v>10000</v>
      </c>
      <c r="AG68" s="35">
        <f>LOG10(AF68)</f>
        <v>4</v>
      </c>
      <c r="AH68" s="35">
        <f>10^((AG68-($N$36*$AD$68))/($N$38*$AD$69))</f>
        <v>218.18100463822486</v>
      </c>
      <c r="AI68" s="36">
        <f>10^((AG68-$M$75)/$M$77)</f>
        <v>218.12031268817816</v>
      </c>
      <c r="AJ68" s="129">
        <f>(AI68-AH68)^2</f>
        <v>3.683512800471482E-3</v>
      </c>
    </row>
    <row r="69" spans="4:36" ht="16.2" thickBot="1" x14ac:dyDescent="0.35">
      <c r="D69" s="82" t="s">
        <v>148</v>
      </c>
      <c r="E69" s="13">
        <v>1.3026</v>
      </c>
      <c r="F69" s="14">
        <v>122.68199999999999</v>
      </c>
      <c r="G69" s="9">
        <v>501188</v>
      </c>
      <c r="H69" s="10">
        <v>10617.418999999998</v>
      </c>
      <c r="I69" s="14">
        <v>2.0887808473714502</v>
      </c>
      <c r="J69" s="15">
        <v>5.7000006640855352</v>
      </c>
      <c r="K69" s="55"/>
      <c r="M69" s="55"/>
      <c r="O69" s="118" t="s">
        <v>149</v>
      </c>
      <c r="P69" s="119">
        <v>1.7134</v>
      </c>
      <c r="Q69" s="111">
        <v>164.15940000000001</v>
      </c>
      <c r="R69" s="112">
        <v>674356</v>
      </c>
      <c r="S69" s="111">
        <v>10436.6744</v>
      </c>
      <c r="T69" s="14">
        <f t="shared" si="4"/>
        <v>2.2152657560951887</v>
      </c>
      <c r="U69" s="15">
        <f t="shared" si="4"/>
        <v>5.8288892259396468</v>
      </c>
      <c r="AC69" s="104" t="s">
        <v>195</v>
      </c>
      <c r="AD69" s="136">
        <v>1.714955369072146</v>
      </c>
      <c r="AF69" s="130">
        <v>20000</v>
      </c>
      <c r="AG69" s="11">
        <f t="shared" ref="AG69:AG82" si="5">LOG10(AF69)</f>
        <v>4.3010299956639813</v>
      </c>
      <c r="AH69" s="11">
        <f t="shared" ref="AH69:AH82" si="6">10^((AG69-($N$36*$AD$68))/($N$38*$AD$69))</f>
        <v>196.97096648297051</v>
      </c>
      <c r="AI69" s="14">
        <f t="shared" ref="AI69:AI82" si="7">10^((AG69-$M$75)/$M$77)</f>
        <v>196.92704049966298</v>
      </c>
      <c r="AJ69" s="131">
        <f>(AI69-AH69)^2</f>
        <v>1.9294920095335069E-3</v>
      </c>
    </row>
    <row r="70" spans="4:36" ht="15" thickBot="1" x14ac:dyDescent="0.35">
      <c r="D70" s="82" t="s">
        <v>150</v>
      </c>
      <c r="E70" s="13">
        <v>1.1354</v>
      </c>
      <c r="F70" s="14">
        <v>107.2186</v>
      </c>
      <c r="G70" s="9">
        <v>560905</v>
      </c>
      <c r="H70" s="10">
        <v>10590.135399999999</v>
      </c>
      <c r="I70" s="14">
        <v>2.0302701321539383</v>
      </c>
      <c r="J70" s="15">
        <v>5.7488893113996591</v>
      </c>
      <c r="K70" s="55"/>
      <c r="M70" s="55"/>
      <c r="O70" s="84" t="s">
        <v>151</v>
      </c>
      <c r="P70" s="80">
        <v>1.6649999999999998</v>
      </c>
      <c r="Q70" s="26">
        <v>164.7946</v>
      </c>
      <c r="R70" s="23">
        <v>1166295</v>
      </c>
      <c r="S70" s="26">
        <v>10102.927600000001</v>
      </c>
      <c r="T70" s="28">
        <f t="shared" si="4"/>
        <v>2.2169429766048743</v>
      </c>
      <c r="U70" s="29">
        <f t="shared" si="4"/>
        <v>6.0668084137746252</v>
      </c>
      <c r="AC70" s="59"/>
      <c r="AF70" s="130">
        <v>30000</v>
      </c>
      <c r="AG70" s="11">
        <f t="shared" si="5"/>
        <v>4.4771212547196626</v>
      </c>
      <c r="AH70" s="11">
        <f t="shared" si="6"/>
        <v>185.53304375689018</v>
      </c>
      <c r="AI70" s="14">
        <f t="shared" si="7"/>
        <v>185.49765583529447</v>
      </c>
      <c r="AJ70" s="131">
        <f t="shared" ref="AJ70:AJ82" si="8">(AI70-AH70)^2</f>
        <v>1.2523049948643715E-3</v>
      </c>
    </row>
    <row r="71" spans="4:36" x14ac:dyDescent="0.3">
      <c r="D71" s="82" t="s">
        <v>152</v>
      </c>
      <c r="E71" s="13">
        <v>1.1667999999999998</v>
      </c>
      <c r="F71" s="14">
        <v>114.86839999999999</v>
      </c>
      <c r="G71" s="9">
        <v>595339</v>
      </c>
      <c r="H71" s="10">
        <v>10154.4036</v>
      </c>
      <c r="I71" s="14">
        <v>2.0602005718289895</v>
      </c>
      <c r="J71" s="15">
        <v>5.7747643336352477</v>
      </c>
      <c r="K71" s="55"/>
      <c r="M71" s="55"/>
      <c r="O71" s="85" t="s">
        <v>153</v>
      </c>
      <c r="P71" s="123">
        <v>3.1323999999999996</v>
      </c>
      <c r="Q71" s="32">
        <v>320.05119999999999</v>
      </c>
      <c r="R71" s="33">
        <v>7026</v>
      </c>
      <c r="S71" s="32">
        <v>9787.2991999999995</v>
      </c>
      <c r="T71" s="36">
        <f t="shared" si="4"/>
        <v>2.5052194598786341</v>
      </c>
      <c r="U71" s="37">
        <f t="shared" si="4"/>
        <v>3.8467081454560068</v>
      </c>
      <c r="AC71" s="100"/>
      <c r="AE71" s="54"/>
      <c r="AF71" s="130">
        <v>40000</v>
      </c>
      <c r="AG71" s="11">
        <f t="shared" si="5"/>
        <v>4.6020599913279625</v>
      </c>
      <c r="AH71" s="11">
        <f t="shared" si="6"/>
        <v>177.82282055932109</v>
      </c>
      <c r="AI71" s="14">
        <f t="shared" si="7"/>
        <v>177.79297490461437</v>
      </c>
      <c r="AJ71" s="131">
        <f t="shared" si="8"/>
        <v>8.9076310487269563E-4</v>
      </c>
    </row>
    <row r="72" spans="4:36" x14ac:dyDescent="0.3">
      <c r="D72" s="82" t="s">
        <v>154</v>
      </c>
      <c r="E72" s="13">
        <v>1.0944</v>
      </c>
      <c r="F72" s="14">
        <v>100.92359999999999</v>
      </c>
      <c r="G72" s="9">
        <v>1079776</v>
      </c>
      <c r="H72" s="10">
        <v>10845.164200000001</v>
      </c>
      <c r="I72" s="14">
        <v>2.0039927336434937</v>
      </c>
      <c r="J72" s="15">
        <v>6.0333336702519116</v>
      </c>
      <c r="K72" s="55"/>
      <c r="M72" s="55"/>
      <c r="O72" s="87" t="s">
        <v>155</v>
      </c>
      <c r="P72" s="13">
        <v>3.3616000000000001</v>
      </c>
      <c r="Q72" s="12">
        <v>318.29080000000005</v>
      </c>
      <c r="R72" s="9">
        <v>10039</v>
      </c>
      <c r="S72" s="12">
        <v>10561.290199999999</v>
      </c>
      <c r="T72" s="14">
        <f t="shared" si="4"/>
        <v>2.5028240857872714</v>
      </c>
      <c r="U72" s="15">
        <f t="shared" si="4"/>
        <v>4.0016904542321532</v>
      </c>
      <c r="AC72" s="100"/>
      <c r="AE72" s="54"/>
      <c r="AF72" s="130">
        <v>50000</v>
      </c>
      <c r="AG72" s="11">
        <f t="shared" si="5"/>
        <v>4.6989700043360187</v>
      </c>
      <c r="AH72" s="11">
        <f t="shared" si="6"/>
        <v>172.06365656993927</v>
      </c>
      <c r="AI72" s="14">
        <f t="shared" si="7"/>
        <v>172.03783351993687</v>
      </c>
      <c r="AJ72" s="131">
        <f t="shared" si="8"/>
        <v>6.6682991142651572E-4</v>
      </c>
    </row>
    <row r="73" spans="4:36" ht="15" thickBot="1" x14ac:dyDescent="0.35">
      <c r="D73" s="84" t="s">
        <v>156</v>
      </c>
      <c r="E73" s="117">
        <v>1.1686000000000001</v>
      </c>
      <c r="F73" s="28">
        <v>107.55919999999999</v>
      </c>
      <c r="G73" s="23">
        <v>1111394</v>
      </c>
      <c r="H73" s="24">
        <v>10865.683199999999</v>
      </c>
      <c r="I73" s="28">
        <v>2.0316475633831943</v>
      </c>
      <c r="J73" s="29">
        <v>6.0458680478624203</v>
      </c>
      <c r="K73" s="55"/>
      <c r="M73" s="55"/>
      <c r="O73" s="87" t="s">
        <v>157</v>
      </c>
      <c r="P73" s="13">
        <v>2.7603999999999997</v>
      </c>
      <c r="Q73" s="12">
        <v>321.07579999999996</v>
      </c>
      <c r="R73" s="9">
        <v>15370</v>
      </c>
      <c r="S73" s="12">
        <v>8597.7945999999993</v>
      </c>
      <c r="T73" s="14">
        <f t="shared" si="4"/>
        <v>2.5066075733256827</v>
      </c>
      <c r="U73" s="15">
        <f t="shared" si="4"/>
        <v>4.1866738674997448</v>
      </c>
      <c r="AC73" s="57"/>
      <c r="AE73" s="54"/>
      <c r="AF73" s="130">
        <v>60000</v>
      </c>
      <c r="AG73" s="11">
        <f t="shared" si="5"/>
        <v>4.7781512503836439</v>
      </c>
      <c r="AH73" s="11">
        <f t="shared" si="6"/>
        <v>167.49681304253809</v>
      </c>
      <c r="AI73" s="14">
        <f t="shared" si="7"/>
        <v>167.47410607049542</v>
      </c>
      <c r="AJ73" s="131">
        <f t="shared" si="8"/>
        <v>5.1560657934658811E-4</v>
      </c>
    </row>
    <row r="74" spans="4:36" ht="15.6" thickBot="1" x14ac:dyDescent="0.35">
      <c r="D74" s="85" t="s">
        <v>158</v>
      </c>
      <c r="E74" s="123">
        <v>2.4043999999999999</v>
      </c>
      <c r="F74" s="36">
        <v>215.63380000000001</v>
      </c>
      <c r="G74" s="33">
        <v>8577</v>
      </c>
      <c r="H74" s="34">
        <v>11149.0736</v>
      </c>
      <c r="I74" s="36">
        <v>2.3337168363058418</v>
      </c>
      <c r="J74" s="37">
        <v>3.9333354100776514</v>
      </c>
      <c r="K74" s="55"/>
      <c r="L74" s="55"/>
      <c r="M74" s="67" t="s">
        <v>74</v>
      </c>
      <c r="O74" s="87" t="s">
        <v>159</v>
      </c>
      <c r="P74" s="13">
        <v>2.9728000000000003</v>
      </c>
      <c r="Q74" s="12">
        <v>321.0478</v>
      </c>
      <c r="R74" s="9">
        <v>17246</v>
      </c>
      <c r="S74" s="12">
        <v>9259.3050000000003</v>
      </c>
      <c r="T74" s="14">
        <f t="shared" si="4"/>
        <v>2.5065696982327852</v>
      </c>
      <c r="U74" s="15">
        <f t="shared" si="4"/>
        <v>4.2366883817646155</v>
      </c>
      <c r="W74" s="55"/>
      <c r="X74" s="67" t="s">
        <v>74</v>
      </c>
      <c r="AC74" s="57"/>
      <c r="AE74" s="54"/>
      <c r="AF74" s="130">
        <v>70000</v>
      </c>
      <c r="AG74" s="11">
        <f t="shared" si="5"/>
        <v>4.8450980400142569</v>
      </c>
      <c r="AH74" s="11">
        <f t="shared" si="6"/>
        <v>163.73029741953675</v>
      </c>
      <c r="AI74" s="14">
        <f t="shared" si="7"/>
        <v>163.71010999609607</v>
      </c>
      <c r="AJ74" s="131">
        <f t="shared" si="8"/>
        <v>4.0753206517366719E-4</v>
      </c>
    </row>
    <row r="75" spans="4:36" ht="15.6" x14ac:dyDescent="0.3">
      <c r="D75" s="87" t="s">
        <v>160</v>
      </c>
      <c r="E75" s="13">
        <v>1.9945999999999997</v>
      </c>
      <c r="F75" s="14">
        <v>191.69319999999999</v>
      </c>
      <c r="G75" s="9">
        <v>25216</v>
      </c>
      <c r="H75" s="10">
        <v>10406.249399999999</v>
      </c>
      <c r="I75" s="14">
        <v>2.2826067072710918</v>
      </c>
      <c r="J75" s="15">
        <v>4.4016761958094612</v>
      </c>
      <c r="K75" s="55"/>
      <c r="L75" s="70" t="s">
        <v>13</v>
      </c>
      <c r="M75" s="71">
        <f>INTERCEPT(J74:J86,$I74:$I86)</f>
        <v>19.859555490172152</v>
      </c>
      <c r="O75" s="87" t="s">
        <v>161</v>
      </c>
      <c r="P75" s="13">
        <v>2.7333999999999996</v>
      </c>
      <c r="Q75" s="12">
        <v>259.68739999999997</v>
      </c>
      <c r="R75" s="9">
        <v>9028</v>
      </c>
      <c r="S75" s="12">
        <v>10526.972</v>
      </c>
      <c r="T75" s="14">
        <f t="shared" si="4"/>
        <v>2.4144508782268272</v>
      </c>
      <c r="U75" s="15">
        <f t="shared" si="4"/>
        <v>3.9555915504057246</v>
      </c>
      <c r="W75" s="70" t="s">
        <v>13</v>
      </c>
      <c r="X75" s="71">
        <f>INTERCEPT(U71:U83,$T71:$T83)</f>
        <v>20.581793293547094</v>
      </c>
      <c r="AC75" s="57"/>
      <c r="AE75" s="54"/>
      <c r="AF75" s="130">
        <v>80000</v>
      </c>
      <c r="AG75" s="11">
        <f t="shared" si="5"/>
        <v>4.9030899869919438</v>
      </c>
      <c r="AH75" s="11">
        <f t="shared" si="6"/>
        <v>160.53612406073233</v>
      </c>
      <c r="AI75" s="14">
        <f t="shared" si="7"/>
        <v>160.51803675730815</v>
      </c>
      <c r="AJ75" s="131">
        <f t="shared" si="8"/>
        <v>3.2715054515840058E-4</v>
      </c>
    </row>
    <row r="76" spans="4:36" x14ac:dyDescent="0.3">
      <c r="D76" s="87" t="s">
        <v>162</v>
      </c>
      <c r="E76" s="13">
        <v>2.3069999999999999</v>
      </c>
      <c r="F76" s="14">
        <v>184.73140000000001</v>
      </c>
      <c r="G76" s="9">
        <v>30316</v>
      </c>
      <c r="H76" s="10">
        <v>12488.162200000001</v>
      </c>
      <c r="I76" s="14">
        <v>2.2665407215782718</v>
      </c>
      <c r="J76" s="15">
        <v>4.4816718983938131</v>
      </c>
      <c r="K76" s="55"/>
      <c r="L76" s="74" t="s">
        <v>14</v>
      </c>
      <c r="M76" s="75">
        <f>10^M75</f>
        <v>7.2369486347613626E+19</v>
      </c>
      <c r="O76" s="87" t="s">
        <v>163</v>
      </c>
      <c r="P76" s="13">
        <v>2.0594000000000001</v>
      </c>
      <c r="Q76" s="12">
        <v>199.73060000000001</v>
      </c>
      <c r="R76" s="9">
        <v>95134</v>
      </c>
      <c r="S76" s="12">
        <v>10311.9494</v>
      </c>
      <c r="T76" s="14">
        <f t="shared" si="4"/>
        <v>2.3004446066487847</v>
      </c>
      <c r="U76" s="15">
        <f t="shared" si="4"/>
        <v>4.9783357574574252</v>
      </c>
      <c r="W76" s="74" t="s">
        <v>14</v>
      </c>
      <c r="X76" s="75">
        <f>10^X75</f>
        <v>3.817625242069878E+20</v>
      </c>
      <c r="AC76" s="57"/>
      <c r="AE76" s="54"/>
      <c r="AF76" s="130">
        <v>90000</v>
      </c>
      <c r="AG76" s="11">
        <f t="shared" si="5"/>
        <v>4.9542425094393252</v>
      </c>
      <c r="AH76" s="11">
        <f t="shared" si="6"/>
        <v>157.77042727790845</v>
      </c>
      <c r="AI76" s="14">
        <f t="shared" si="7"/>
        <v>157.75413071950115</v>
      </c>
      <c r="AJ76" s="131">
        <f t="shared" si="8"/>
        <v>2.6557781592270095E-4</v>
      </c>
    </row>
    <row r="77" spans="4:36" ht="15.6" x14ac:dyDescent="0.3">
      <c r="D77" s="87" t="s">
        <v>164</v>
      </c>
      <c r="E77" s="13">
        <v>1.4448000000000003</v>
      </c>
      <c r="F77" s="14">
        <v>153.29660000000001</v>
      </c>
      <c r="G77" s="9">
        <v>39659</v>
      </c>
      <c r="H77" s="10">
        <v>9424.6934000000001</v>
      </c>
      <c r="I77" s="14">
        <v>2.1855325226455475</v>
      </c>
      <c r="J77" s="15">
        <v>4.5983417592904337</v>
      </c>
      <c r="K77" s="55"/>
      <c r="L77" s="74" t="s">
        <v>15</v>
      </c>
      <c r="M77" s="76">
        <f>SLOPE(J74:J86,$I74:$I86)</f>
        <v>-6.7813665108078531</v>
      </c>
      <c r="O77" s="87" t="s">
        <v>165</v>
      </c>
      <c r="P77" s="13">
        <v>2.7069999999999999</v>
      </c>
      <c r="Q77" s="12">
        <v>249.9308</v>
      </c>
      <c r="R77" s="9">
        <v>115997</v>
      </c>
      <c r="S77" s="12">
        <v>10831.188200000001</v>
      </c>
      <c r="T77" s="14">
        <f t="shared" si="4"/>
        <v>2.3978197793189366</v>
      </c>
      <c r="U77" s="15">
        <f t="shared" si="4"/>
        <v>5.0644467573278353</v>
      </c>
      <c r="W77" s="74" t="s">
        <v>15</v>
      </c>
      <c r="X77" s="76">
        <f>SLOPE(U71:U83,$T71:$T83)</f>
        <v>-6.6086603940574173</v>
      </c>
      <c r="AC77" s="57"/>
      <c r="AE77" s="54"/>
      <c r="AF77" s="130">
        <v>100000</v>
      </c>
      <c r="AG77" s="11">
        <f t="shared" si="5"/>
        <v>5</v>
      </c>
      <c r="AH77" s="11">
        <f t="shared" si="6"/>
        <v>155.33682589541573</v>
      </c>
      <c r="AI77" s="14">
        <f t="shared" si="7"/>
        <v>155.32208344799002</v>
      </c>
      <c r="AJ77" s="131">
        <f t="shared" si="8"/>
        <v>2.1733975609963561E-4</v>
      </c>
    </row>
    <row r="78" spans="4:36" ht="16.2" thickBot="1" x14ac:dyDescent="0.35">
      <c r="D78" s="87" t="s">
        <v>166</v>
      </c>
      <c r="E78" s="13">
        <v>1.8943999999999999</v>
      </c>
      <c r="F78" s="14">
        <v>180.72080000000003</v>
      </c>
      <c r="G78" s="9">
        <v>43820</v>
      </c>
      <c r="H78" s="10">
        <v>10482.2364</v>
      </c>
      <c r="I78" s="14">
        <v>2.2570081404157181</v>
      </c>
      <c r="J78" s="15">
        <v>4.6416723732246865</v>
      </c>
      <c r="K78" s="55"/>
      <c r="L78" s="77" t="s">
        <v>59</v>
      </c>
      <c r="M78" s="78">
        <f>10^((6-M75)/M77)</f>
        <v>110.60386494637505</v>
      </c>
      <c r="O78" s="87" t="s">
        <v>167</v>
      </c>
      <c r="P78" s="13">
        <v>2.3481999999999998</v>
      </c>
      <c r="Q78" s="12">
        <v>200.04640000000001</v>
      </c>
      <c r="R78" s="9">
        <v>231444</v>
      </c>
      <c r="S78" s="12">
        <v>11739.195400000001</v>
      </c>
      <c r="T78" s="14">
        <f t="shared" si="4"/>
        <v>2.3011307402978569</v>
      </c>
      <c r="U78" s="15">
        <f t="shared" si="4"/>
        <v>5.3644459265287781</v>
      </c>
      <c r="W78" s="77" t="s">
        <v>59</v>
      </c>
      <c r="X78" s="78">
        <f>10^((6-X75)/X77)</f>
        <v>160.86713821581483</v>
      </c>
      <c r="AC78" s="57"/>
      <c r="AE78" s="54"/>
      <c r="AF78" s="130">
        <v>110000</v>
      </c>
      <c r="AG78" s="11">
        <f t="shared" si="5"/>
        <v>5.0413926851582254</v>
      </c>
      <c r="AH78" s="11">
        <f t="shared" si="6"/>
        <v>153.16771941190487</v>
      </c>
      <c r="AI78" s="14">
        <f t="shared" si="7"/>
        <v>153.15434484894101</v>
      </c>
      <c r="AJ78" s="131">
        <f t="shared" si="8"/>
        <v>1.7887893447428451E-4</v>
      </c>
    </row>
    <row r="79" spans="4:36" x14ac:dyDescent="0.3">
      <c r="D79" s="87" t="s">
        <v>168</v>
      </c>
      <c r="E79" s="13">
        <v>1.9932000000000003</v>
      </c>
      <c r="F79" s="14">
        <v>174.01839999999999</v>
      </c>
      <c r="G79" s="9">
        <v>64566</v>
      </c>
      <c r="H79" s="10">
        <v>11454.528999999999</v>
      </c>
      <c r="I79" s="14">
        <v>2.2405951712480201</v>
      </c>
      <c r="J79" s="15">
        <v>4.8100038817792727</v>
      </c>
      <c r="K79" s="55"/>
      <c r="O79" s="87" t="s">
        <v>169</v>
      </c>
      <c r="P79" s="13">
        <v>1.5757999999999999</v>
      </c>
      <c r="Q79" s="12">
        <v>149.61580000000001</v>
      </c>
      <c r="R79" s="9">
        <v>441650</v>
      </c>
      <c r="S79" s="12">
        <v>10533.681200000001</v>
      </c>
      <c r="T79" s="14">
        <f t="shared" si="4"/>
        <v>2.1749774591065334</v>
      </c>
      <c r="U79" s="15">
        <f t="shared" si="4"/>
        <v>5.6450782347729245</v>
      </c>
      <c r="AC79" s="57"/>
      <c r="AE79" s="54"/>
      <c r="AF79" s="130">
        <v>120000</v>
      </c>
      <c r="AG79" s="11">
        <f t="shared" si="5"/>
        <v>5.0791812460476251</v>
      </c>
      <c r="AH79" s="11">
        <f t="shared" si="6"/>
        <v>151.2139390984635</v>
      </c>
      <c r="AI79" s="14">
        <f t="shared" si="7"/>
        <v>151.20178245818545</v>
      </c>
      <c r="AJ79" s="131">
        <f t="shared" si="8"/>
        <v>1.477839028499122E-4</v>
      </c>
    </row>
    <row r="80" spans="4:36" x14ac:dyDescent="0.3">
      <c r="D80" s="87" t="s">
        <v>170</v>
      </c>
      <c r="E80" s="13">
        <v>1.3473999999999999</v>
      </c>
      <c r="F80" s="14">
        <v>121.3982</v>
      </c>
      <c r="G80" s="9">
        <v>281119</v>
      </c>
      <c r="H80" s="10">
        <v>11099.453600000001</v>
      </c>
      <c r="I80" s="14">
        <v>2.0842122473993472</v>
      </c>
      <c r="J80" s="15">
        <v>5.4488901992762395</v>
      </c>
      <c r="K80" s="55"/>
      <c r="O80" s="87" t="s">
        <v>171</v>
      </c>
      <c r="P80" s="13">
        <v>2.0722</v>
      </c>
      <c r="Q80" s="12">
        <v>199.84280000000001</v>
      </c>
      <c r="R80" s="9">
        <v>724436</v>
      </c>
      <c r="S80" s="12">
        <v>10369.524399999998</v>
      </c>
      <c r="T80" s="14">
        <f t="shared" si="4"/>
        <v>2.300688505978171</v>
      </c>
      <c r="U80" s="15">
        <f t="shared" si="4"/>
        <v>5.8600000239347745</v>
      </c>
      <c r="AC80" s="57"/>
      <c r="AE80" s="54"/>
      <c r="AF80" s="130">
        <v>130000</v>
      </c>
      <c r="AG80" s="11">
        <f t="shared" si="5"/>
        <v>5.1139433523068369</v>
      </c>
      <c r="AH80" s="11">
        <f t="shared" si="6"/>
        <v>149.43865097867624</v>
      </c>
      <c r="AI80" s="14">
        <f t="shared" si="7"/>
        <v>149.42758919580226</v>
      </c>
      <c r="AJ80" s="131">
        <f t="shared" si="8"/>
        <v>1.2236304035108872E-4</v>
      </c>
    </row>
    <row r="81" spans="4:36" x14ac:dyDescent="0.3">
      <c r="D81" s="87" t="s">
        <v>172</v>
      </c>
      <c r="E81" s="13">
        <v>1.4003999999999999</v>
      </c>
      <c r="F81" s="14">
        <v>128.30940000000001</v>
      </c>
      <c r="G81" s="9">
        <v>491034</v>
      </c>
      <c r="H81" s="10">
        <v>10914.325000000001</v>
      </c>
      <c r="I81" s="14">
        <v>2.1082584741347747</v>
      </c>
      <c r="J81" s="15">
        <v>5.6911115644267598</v>
      </c>
      <c r="K81" s="55"/>
      <c r="M81" s="55"/>
      <c r="O81" s="87" t="s">
        <v>173</v>
      </c>
      <c r="P81" s="13">
        <v>1.8472000000000002</v>
      </c>
      <c r="Q81" s="12">
        <v>158.74160000000001</v>
      </c>
      <c r="R81" s="9">
        <v>1812731</v>
      </c>
      <c r="S81" s="12">
        <v>11636.896999999999</v>
      </c>
      <c r="T81" s="14">
        <f t="shared" si="4"/>
        <v>2.2006907533645337</v>
      </c>
      <c r="U81" s="15">
        <f t="shared" si="4"/>
        <v>6.2583333617991297</v>
      </c>
      <c r="AC81" s="57"/>
      <c r="AE81" s="54"/>
      <c r="AF81" s="130">
        <v>140000</v>
      </c>
      <c r="AG81" s="11">
        <f t="shared" si="5"/>
        <v>5.1461280356782382</v>
      </c>
      <c r="AH81" s="11">
        <f t="shared" si="6"/>
        <v>147.81357789944005</v>
      </c>
      <c r="AI81" s="14">
        <f t="shared" si="7"/>
        <v>147.80350836693441</v>
      </c>
      <c r="AJ81" s="131">
        <f t="shared" si="8"/>
        <v>1.0139548488212536E-4</v>
      </c>
    </row>
    <row r="82" spans="4:36" ht="15" thickBot="1" x14ac:dyDescent="0.35">
      <c r="D82" s="87" t="s">
        <v>174</v>
      </c>
      <c r="E82" s="13">
        <v>1.4978</v>
      </c>
      <c r="F82" s="14">
        <v>129.57679999999999</v>
      </c>
      <c r="G82" s="9">
        <v>640718</v>
      </c>
      <c r="H82" s="10">
        <v>11560.600399999999</v>
      </c>
      <c r="I82" s="14">
        <v>2.1125272505012487</v>
      </c>
      <c r="J82" s="15">
        <v>5.8066669250077272</v>
      </c>
      <c r="K82" s="55"/>
      <c r="M82" s="55"/>
      <c r="O82" s="87" t="s">
        <v>175</v>
      </c>
      <c r="P82" s="13">
        <v>1.7398</v>
      </c>
      <c r="Q82" s="12">
        <v>149.19720000000001</v>
      </c>
      <c r="R82" s="9">
        <v>1932463</v>
      </c>
      <c r="S82" s="12">
        <v>11662.843999999999</v>
      </c>
      <c r="T82" s="14">
        <f t="shared" si="4"/>
        <v>2.1737606727615839</v>
      </c>
      <c r="U82" s="15">
        <f t="shared" si="4"/>
        <v>6.2861111874288298</v>
      </c>
      <c r="AC82" s="57"/>
      <c r="AE82" s="54"/>
      <c r="AF82" s="132">
        <v>150000</v>
      </c>
      <c r="AG82" s="25">
        <f t="shared" si="5"/>
        <v>5.1760912590556813</v>
      </c>
      <c r="AH82" s="25">
        <f t="shared" si="6"/>
        <v>146.31655939202741</v>
      </c>
      <c r="AI82" s="28">
        <f t="shared" si="7"/>
        <v>146.30739539857871</v>
      </c>
      <c r="AJ82" s="133">
        <f t="shared" si="8"/>
        <v>8.3978775927983433E-5</v>
      </c>
    </row>
    <row r="83" spans="4:36" ht="15" thickBot="1" x14ac:dyDescent="0.35">
      <c r="D83" s="87" t="s">
        <v>176</v>
      </c>
      <c r="E83" s="13">
        <v>1.2772000000000001</v>
      </c>
      <c r="F83" s="14">
        <v>115.26179999999999</v>
      </c>
      <c r="G83" s="9">
        <v>774264</v>
      </c>
      <c r="H83" s="10">
        <v>11080.940599999998</v>
      </c>
      <c r="I83" s="14">
        <v>2.0616853975112006</v>
      </c>
      <c r="J83" s="15">
        <v>5.8888890668770992</v>
      </c>
      <c r="K83" s="55"/>
      <c r="M83" s="55"/>
      <c r="O83" s="96" t="s">
        <v>177</v>
      </c>
      <c r="P83" s="117">
        <v>1.8295999999999999</v>
      </c>
      <c r="Q83" s="26">
        <v>164.37460000000002</v>
      </c>
      <c r="R83" s="23">
        <v>2033918</v>
      </c>
      <c r="S83" s="26">
        <v>11131.242399999999</v>
      </c>
      <c r="T83" s="28">
        <f t="shared" si="4"/>
        <v>2.2158347089942643</v>
      </c>
      <c r="U83" s="29">
        <f t="shared" si="4"/>
        <v>6.308333439803353</v>
      </c>
      <c r="AC83" s="57"/>
      <c r="AE83" s="54"/>
    </row>
    <row r="84" spans="4:36" ht="16.8" thickBot="1" x14ac:dyDescent="0.35">
      <c r="D84" s="87" t="s">
        <v>178</v>
      </c>
      <c r="E84" s="13">
        <v>1.1995999999999998</v>
      </c>
      <c r="F84" s="14">
        <v>99.878999999999991</v>
      </c>
      <c r="G84" s="9">
        <v>780737</v>
      </c>
      <c r="H84" s="10">
        <v>12011.839600000001</v>
      </c>
      <c r="I84" s="14">
        <v>1.9994741854949289</v>
      </c>
      <c r="J84" s="15">
        <v>5.8925047615538295</v>
      </c>
      <c r="K84" s="55"/>
      <c r="M84" s="55"/>
      <c r="AC84" s="57"/>
      <c r="AE84" s="54"/>
      <c r="AI84" s="134" t="s">
        <v>183</v>
      </c>
      <c r="AJ84" s="121">
        <f>SUM(AJ68:AJ82)</f>
        <v>1.0790509721354959E-2</v>
      </c>
    </row>
    <row r="85" spans="4:36" x14ac:dyDescent="0.3">
      <c r="D85" s="87" t="s">
        <v>179</v>
      </c>
      <c r="E85" s="13">
        <v>1.226</v>
      </c>
      <c r="F85" s="14">
        <v>117.949</v>
      </c>
      <c r="G85" s="9">
        <v>1819163</v>
      </c>
      <c r="H85" s="10">
        <v>10393.4794</v>
      </c>
      <c r="I85" s="14">
        <v>2.0716942631841158</v>
      </c>
      <c r="J85" s="15">
        <v>6.2598716143075768</v>
      </c>
      <c r="K85" s="55"/>
      <c r="M85" s="55"/>
      <c r="AC85" s="57"/>
      <c r="AF85" s="58"/>
    </row>
    <row r="86" spans="4:36" ht="15" thickBot="1" x14ac:dyDescent="0.35">
      <c r="D86" s="96" t="s">
        <v>180</v>
      </c>
      <c r="E86" s="117">
        <v>1.2114</v>
      </c>
      <c r="F86" s="28">
        <v>99.012</v>
      </c>
      <c r="G86" s="23">
        <v>2782560</v>
      </c>
      <c r="H86" s="24">
        <v>12236.332400000001</v>
      </c>
      <c r="I86" s="28">
        <v>1.9956878331627805</v>
      </c>
      <c r="J86" s="29">
        <v>6.4444445377463593</v>
      </c>
      <c r="K86" s="55"/>
      <c r="M86" s="55"/>
      <c r="AC86" s="57"/>
      <c r="AF86" s="122" t="s">
        <v>91</v>
      </c>
    </row>
    <row r="87" spans="4:36" ht="15" thickBot="1" x14ac:dyDescent="0.35">
      <c r="AC87" s="59"/>
    </row>
    <row r="88" spans="4:36" ht="20.399999999999999" thickBot="1" x14ac:dyDescent="0.35">
      <c r="AC88" s="103" t="s">
        <v>194</v>
      </c>
      <c r="AD88" s="135">
        <v>1.5899623961931486</v>
      </c>
      <c r="AF88" s="49" t="s">
        <v>100</v>
      </c>
      <c r="AG88" s="50" t="s">
        <v>101</v>
      </c>
      <c r="AH88" s="124" t="s">
        <v>102</v>
      </c>
      <c r="AI88" s="124" t="s">
        <v>181</v>
      </c>
      <c r="AJ88" s="126" t="s">
        <v>182</v>
      </c>
    </row>
    <row r="89" spans="4:36" ht="16.2" thickBot="1" x14ac:dyDescent="0.35">
      <c r="AC89" s="104" t="s">
        <v>195</v>
      </c>
      <c r="AD89" s="136">
        <v>1.649230534790227</v>
      </c>
      <c r="AF89" s="128">
        <v>10000</v>
      </c>
      <c r="AG89" s="35">
        <f>LOG10(AF89)</f>
        <v>4</v>
      </c>
      <c r="AH89" s="35">
        <f>10^((AG89-($N$22*$AD$88))/($N$24*$AD$89))</f>
        <v>210.27144521500742</v>
      </c>
      <c r="AI89" s="36">
        <f>10^((AG89-$M$51)/$M$53)</f>
        <v>210.28173115697635</v>
      </c>
      <c r="AJ89" s="129">
        <f>(AI89-AH89)^2</f>
        <v>1.0580060218821524E-4</v>
      </c>
    </row>
    <row r="90" spans="4:36" x14ac:dyDescent="0.3">
      <c r="AC90" s="59"/>
      <c r="AF90" s="130">
        <v>20000</v>
      </c>
      <c r="AG90" s="11">
        <f t="shared" ref="AG90:AG103" si="9">LOG10(AF90)</f>
        <v>4.3010299956639813</v>
      </c>
      <c r="AH90" s="11">
        <f t="shared" ref="AH90:AH103" si="10">10^((AG90-($N$22*$AD$88))/($N$24*$AD$89))</f>
        <v>188.66427242810863</v>
      </c>
      <c r="AI90" s="14">
        <f t="shared" ref="AI90:AI103" si="11">10^((AG90-$M$51)/$M$53)</f>
        <v>188.67438168311369</v>
      </c>
      <c r="AJ90" s="131">
        <f>(AI90-AH90)^2</f>
        <v>1.0219703675737763E-4</v>
      </c>
    </row>
    <row r="91" spans="4:36" x14ac:dyDescent="0.3">
      <c r="AC91" s="100"/>
      <c r="AE91" s="54"/>
      <c r="AF91" s="130">
        <v>30000</v>
      </c>
      <c r="AG91" s="11">
        <f t="shared" si="9"/>
        <v>4.4771212547196626</v>
      </c>
      <c r="AH91" s="11">
        <f t="shared" si="10"/>
        <v>177.06935680966433</v>
      </c>
      <c r="AI91" s="14">
        <f t="shared" si="11"/>
        <v>177.07932805718414</v>
      </c>
      <c r="AJ91" s="131">
        <f t="shared" ref="AJ91:AJ103" si="12">(AI91-AH91)^2</f>
        <v>9.9425777101408739E-5</v>
      </c>
    </row>
    <row r="92" spans="4:36" x14ac:dyDescent="0.3">
      <c r="AC92" s="100"/>
      <c r="AE92" s="54"/>
      <c r="AF92" s="130">
        <v>40000</v>
      </c>
      <c r="AG92" s="11">
        <f t="shared" si="9"/>
        <v>4.6020599913279625</v>
      </c>
      <c r="AH92" s="11">
        <f t="shared" si="10"/>
        <v>169.27741973919314</v>
      </c>
      <c r="AI92" s="14">
        <f t="shared" si="11"/>
        <v>169.28728001069751</v>
      </c>
      <c r="AJ92" s="131">
        <f t="shared" si="12"/>
        <v>9.7224954140080831E-5</v>
      </c>
    </row>
    <row r="93" spans="4:36" x14ac:dyDescent="0.3">
      <c r="AC93" s="57"/>
      <c r="AE93" s="54"/>
      <c r="AF93" s="130">
        <v>50000</v>
      </c>
      <c r="AG93" s="11">
        <f t="shared" si="9"/>
        <v>4.6989700043360187</v>
      </c>
      <c r="AH93" s="11">
        <f t="shared" si="10"/>
        <v>163.47044026118746</v>
      </c>
      <c r="AI93" s="14">
        <f t="shared" si="11"/>
        <v>163.48020782696008</v>
      </c>
      <c r="AJ93" s="131">
        <f t="shared" si="12"/>
        <v>9.5405341122456683E-5</v>
      </c>
    </row>
    <row r="94" spans="4:36" x14ac:dyDescent="0.3">
      <c r="AC94" s="57"/>
      <c r="AE94" s="54"/>
      <c r="AF94" s="130">
        <v>60000</v>
      </c>
      <c r="AG94" s="11">
        <f t="shared" si="9"/>
        <v>4.7781512503836439</v>
      </c>
      <c r="AH94" s="11">
        <f t="shared" si="10"/>
        <v>158.87397995314757</v>
      </c>
      <c r="AI94" s="14">
        <f t="shared" si="11"/>
        <v>158.88366785942767</v>
      </c>
      <c r="AJ94" s="131">
        <f t="shared" si="12"/>
        <v>9.3855528092127294E-5</v>
      </c>
    </row>
    <row r="95" spans="4:36" x14ac:dyDescent="0.3">
      <c r="AC95" s="57"/>
      <c r="AE95" s="54"/>
      <c r="AF95" s="130">
        <v>70000</v>
      </c>
      <c r="AG95" s="11">
        <f t="shared" si="9"/>
        <v>4.8450980400142569</v>
      </c>
      <c r="AH95" s="11">
        <f t="shared" si="10"/>
        <v>155.08870690841107</v>
      </c>
      <c r="AI95" s="14">
        <f t="shared" si="11"/>
        <v>155.09832492387449</v>
      </c>
      <c r="AJ95" s="131">
        <f t="shared" si="12"/>
        <v>9.2506221454526522E-5</v>
      </c>
    </row>
    <row r="96" spans="4:36" x14ac:dyDescent="0.3">
      <c r="AC96" s="57"/>
      <c r="AE96" s="54"/>
      <c r="AF96" s="130">
        <v>80000</v>
      </c>
      <c r="AG96" s="11">
        <f t="shared" si="9"/>
        <v>4.9030899869919438</v>
      </c>
      <c r="AH96" s="11">
        <f t="shared" si="10"/>
        <v>151.88273044372008</v>
      </c>
      <c r="AI96" s="14">
        <f t="shared" si="11"/>
        <v>151.8922861586631</v>
      </c>
      <c r="AJ96" s="131">
        <f t="shared" si="12"/>
        <v>9.1311688072240644E-5</v>
      </c>
    </row>
    <row r="97" spans="29:36" x14ac:dyDescent="0.3">
      <c r="AC97" s="57"/>
      <c r="AE97" s="54"/>
      <c r="AF97" s="130">
        <v>90000</v>
      </c>
      <c r="AG97" s="11">
        <f t="shared" si="9"/>
        <v>4.9542425094393252</v>
      </c>
      <c r="AH97" s="11">
        <f t="shared" si="10"/>
        <v>149.1099140395807</v>
      </c>
      <c r="AI97" s="14">
        <f t="shared" si="11"/>
        <v>149.11941352516089</v>
      </c>
      <c r="AJ97" s="131">
        <f t="shared" si="12"/>
        <v>9.0240226288292226E-5</v>
      </c>
    </row>
    <row r="98" spans="29:36" x14ac:dyDescent="0.3">
      <c r="AC98" s="57"/>
      <c r="AE98" s="54"/>
      <c r="AF98" s="130">
        <v>100000</v>
      </c>
      <c r="AG98" s="11">
        <f t="shared" si="9"/>
        <v>5</v>
      </c>
      <c r="AH98" s="11">
        <f t="shared" si="10"/>
        <v>146.6724673140657</v>
      </c>
      <c r="AI98" s="14">
        <f t="shared" si="11"/>
        <v>146.6819155400288</v>
      </c>
      <c r="AJ98" s="131">
        <f t="shared" si="12"/>
        <v>8.9268973849757454E-5</v>
      </c>
    </row>
    <row r="99" spans="29:36" x14ac:dyDescent="0.3">
      <c r="AC99" s="57"/>
      <c r="AE99" s="54"/>
      <c r="AF99" s="130">
        <v>110000</v>
      </c>
      <c r="AG99" s="11">
        <f t="shared" si="9"/>
        <v>5.0413926851582254</v>
      </c>
      <c r="AH99" s="11">
        <f t="shared" si="10"/>
        <v>144.50187072919394</v>
      </c>
      <c r="AI99" s="14">
        <f t="shared" si="11"/>
        <v>144.51127184105309</v>
      </c>
      <c r="AJ99" s="131">
        <f t="shared" si="12"/>
        <v>8.8380904188216152E-5</v>
      </c>
    </row>
    <row r="100" spans="29:36" x14ac:dyDescent="0.3">
      <c r="AC100" s="57"/>
      <c r="AE100" s="54"/>
      <c r="AF100" s="130">
        <v>120000</v>
      </c>
      <c r="AG100" s="11">
        <f t="shared" si="9"/>
        <v>5.0791812460476251</v>
      </c>
      <c r="AH100" s="11">
        <f t="shared" si="10"/>
        <v>142.5483322520067</v>
      </c>
      <c r="AI100" s="14">
        <f t="shared" si="11"/>
        <v>142.55768976214358</v>
      </c>
      <c r="AJ100" s="131">
        <f t="shared" si="12"/>
        <v>8.756299596181027E-5</v>
      </c>
    </row>
    <row r="101" spans="29:36" x14ac:dyDescent="0.3">
      <c r="AC101" s="57"/>
      <c r="AE101" s="54"/>
      <c r="AF101" s="130">
        <v>130000</v>
      </c>
      <c r="AG101" s="11">
        <f t="shared" si="9"/>
        <v>5.1139433523068369</v>
      </c>
      <c r="AH101" s="11">
        <f t="shared" si="10"/>
        <v>140.77458158500454</v>
      </c>
      <c r="AI101" s="14">
        <f t="shared" si="11"/>
        <v>140.78389850871528</v>
      </c>
      <c r="AJ101" s="131">
        <f t="shared" si="12"/>
        <v>8.6805067431782305E-5</v>
      </c>
    </row>
    <row r="102" spans="29:36" x14ac:dyDescent="0.3">
      <c r="AC102" s="57"/>
      <c r="AE102" s="54"/>
      <c r="AF102" s="130">
        <v>140000</v>
      </c>
      <c r="AG102" s="11">
        <f t="shared" si="9"/>
        <v>5.1461280356782382</v>
      </c>
      <c r="AH102" s="11">
        <f t="shared" si="10"/>
        <v>139.15202808813541</v>
      </c>
      <c r="AI102" s="14">
        <f t="shared" si="11"/>
        <v>139.16130704313858</v>
      </c>
      <c r="AJ102" s="131">
        <f t="shared" si="12"/>
        <v>8.6099005950820555E-5</v>
      </c>
    </row>
    <row r="103" spans="29:36" ht="15" thickBot="1" x14ac:dyDescent="0.35">
      <c r="AC103" s="57"/>
      <c r="AE103" s="54"/>
      <c r="AF103" s="132">
        <v>150000</v>
      </c>
      <c r="AG103" s="25">
        <f t="shared" si="9"/>
        <v>5.1760912590556813</v>
      </c>
      <c r="AH103" s="25">
        <f t="shared" si="10"/>
        <v>137.65828110822903</v>
      </c>
      <c r="AI103" s="28">
        <f t="shared" si="11"/>
        <v>137.66752438915572</v>
      </c>
      <c r="AJ103" s="133">
        <f t="shared" si="12"/>
        <v>8.5438242289572009E-5</v>
      </c>
    </row>
    <row r="104" spans="29:36" ht="15" thickBot="1" x14ac:dyDescent="0.35">
      <c r="AC104" s="57"/>
      <c r="AE104" s="54"/>
      <c r="AI104" s="101"/>
    </row>
    <row r="105" spans="29:36" ht="17.399999999999999" thickBot="1" x14ac:dyDescent="0.35">
      <c r="AI105" s="120" t="s">
        <v>135</v>
      </c>
      <c r="AJ105" s="121">
        <f>SUM(AJ89:AJ103)</f>
        <v>1.3915225648886845E-3</v>
      </c>
    </row>
  </sheetData>
  <mergeCells count="19">
    <mergeCell ref="AM45:AM46"/>
    <mergeCell ref="AN51:AO51"/>
    <mergeCell ref="AM51:AM52"/>
    <mergeCell ref="AW35:AX35"/>
    <mergeCell ref="AP45:AQ45"/>
    <mergeCell ref="AN45:AO45"/>
    <mergeCell ref="D47:D48"/>
    <mergeCell ref="O47:O48"/>
    <mergeCell ref="P36:T36"/>
    <mergeCell ref="Y36:AC36"/>
    <mergeCell ref="AH36:AL36"/>
    <mergeCell ref="P39:T39"/>
    <mergeCell ref="Y39:AC39"/>
    <mergeCell ref="AH39:AL39"/>
    <mergeCell ref="D5:D6"/>
    <mergeCell ref="D20:D21"/>
    <mergeCell ref="P35:T35"/>
    <mergeCell ref="Y35:AC35"/>
    <mergeCell ref="AH35:AL3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ANNEX F</vt:lpstr>
      <vt:lpstr>ANNEX E</vt:lpstr>
      <vt:lpstr>ANNEX D</vt:lpstr>
      <vt:lpstr>SHIFT-TILT FACTORS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Armando Pellegrino</dc:creator>
  <cp:lastModifiedBy>Pellegrino  Armando</cp:lastModifiedBy>
  <dcterms:created xsi:type="dcterms:W3CDTF">2015-06-05T18:19:34Z</dcterms:created>
  <dcterms:modified xsi:type="dcterms:W3CDTF">2025-10-30T13:17:06Z</dcterms:modified>
</cp:coreProperties>
</file>