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.xml" ContentType="application/vnd.openxmlformats-officedocument.drawing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less\Desktop\polito\TESI DTU\Appendix H - Copia\"/>
    </mc:Choice>
  </mc:AlternateContent>
  <xr:revisionPtr revIDLastSave="0" documentId="13_ncr:1_{BF27E7F0-6D63-4947-AC7A-6E80E7393C31}" xr6:coauthVersionLast="47" xr6:coauthVersionMax="47" xr10:uidLastSave="{00000000-0000-0000-0000-000000000000}"/>
  <bookViews>
    <workbookView xWindow="-108" yWindow="-108" windowWidth="23256" windowHeight="12456" firstSheet="1" activeTab="6" xr2:uid="{00000000-000D-0000-FFFF-FFFF00000000}"/>
  </bookViews>
  <sheets>
    <sheet name="H.1 coarse sand" sheetId="1" r:id="rId1"/>
    <sheet name="H.1 fine sand" sheetId="3" r:id="rId2"/>
    <sheet name="H.2 Kd and Kia" sheetId="4" r:id="rId3"/>
    <sheet name="H.2 coarse sand" sheetId="5" r:id="rId4"/>
    <sheet name="H.2 fine sand" sheetId="6" r:id="rId5"/>
    <sheet name="H.3 coarse sand" sheetId="7" r:id="rId6"/>
    <sheet name="H.3 fine sand + Br" sheetId="8" r:id="rId7"/>
  </sheets>
  <externalReferences>
    <externalReference r:id="rId8"/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5" i="8" l="1"/>
  <c r="L124" i="8"/>
  <c r="L123" i="8"/>
  <c r="L122" i="8"/>
  <c r="P66" i="8"/>
  <c r="X77" i="8"/>
  <c r="W77" i="8"/>
  <c r="V77" i="8"/>
  <c r="U77" i="8"/>
  <c r="T77" i="8"/>
  <c r="S77" i="8"/>
  <c r="R77" i="8"/>
  <c r="Q77" i="8"/>
  <c r="P77" i="8"/>
  <c r="O77" i="8"/>
  <c r="X76" i="8"/>
  <c r="W76" i="8"/>
  <c r="V76" i="8"/>
  <c r="U76" i="8"/>
  <c r="T76" i="8"/>
  <c r="S76" i="8"/>
  <c r="R76" i="8"/>
  <c r="Q76" i="8"/>
  <c r="P76" i="8"/>
  <c r="O76" i="8"/>
  <c r="X75" i="8"/>
  <c r="W75" i="8"/>
  <c r="V75" i="8"/>
  <c r="U75" i="8"/>
  <c r="T75" i="8"/>
  <c r="S75" i="8"/>
  <c r="R75" i="8"/>
  <c r="Q75" i="8"/>
  <c r="P75" i="8"/>
  <c r="O75" i="8"/>
  <c r="X74" i="8"/>
  <c r="W74" i="8"/>
  <c r="V74" i="8"/>
  <c r="U74" i="8"/>
  <c r="T74" i="8"/>
  <c r="S74" i="8"/>
  <c r="R74" i="8"/>
  <c r="Q74" i="8"/>
  <c r="P74" i="8"/>
  <c r="O74" i="8"/>
  <c r="X73" i="8"/>
  <c r="W73" i="8"/>
  <c r="V73" i="8"/>
  <c r="U73" i="8"/>
  <c r="T73" i="8"/>
  <c r="S73" i="8"/>
  <c r="R73" i="8"/>
  <c r="Q73" i="8"/>
  <c r="P73" i="8"/>
  <c r="O73" i="8"/>
  <c r="X72" i="8"/>
  <c r="W72" i="8"/>
  <c r="V72" i="8"/>
  <c r="U72" i="8"/>
  <c r="T72" i="8"/>
  <c r="S72" i="8"/>
  <c r="R72" i="8"/>
  <c r="Q72" i="8"/>
  <c r="P72" i="8"/>
  <c r="O72" i="8"/>
  <c r="X69" i="8"/>
  <c r="W69" i="8"/>
  <c r="V69" i="8"/>
  <c r="U69" i="8"/>
  <c r="T69" i="8"/>
  <c r="S69" i="8"/>
  <c r="R69" i="8"/>
  <c r="Q69" i="8"/>
  <c r="P69" i="8"/>
  <c r="O69" i="8"/>
  <c r="X68" i="8"/>
  <c r="W68" i="8"/>
  <c r="V68" i="8"/>
  <c r="U68" i="8"/>
  <c r="T68" i="8"/>
  <c r="S68" i="8"/>
  <c r="R68" i="8"/>
  <c r="Q68" i="8"/>
  <c r="P68" i="8"/>
  <c r="O68" i="8"/>
  <c r="X67" i="8"/>
  <c r="W67" i="8"/>
  <c r="V67" i="8"/>
  <c r="U67" i="8"/>
  <c r="T67" i="8"/>
  <c r="S67" i="8"/>
  <c r="R67" i="8"/>
  <c r="Q67" i="8"/>
  <c r="P67" i="8"/>
  <c r="O67" i="8"/>
  <c r="X66" i="8"/>
  <c r="W66" i="8"/>
  <c r="V66" i="8"/>
  <c r="U66" i="8"/>
  <c r="T66" i="8"/>
  <c r="S66" i="8"/>
  <c r="R66" i="8"/>
  <c r="Q66" i="8"/>
  <c r="O66" i="8"/>
  <c r="X65" i="8"/>
  <c r="W65" i="8"/>
  <c r="V65" i="8"/>
  <c r="U65" i="8"/>
  <c r="T65" i="8"/>
  <c r="S65" i="8"/>
  <c r="R65" i="8"/>
  <c r="Q65" i="8"/>
  <c r="P65" i="8"/>
  <c r="O65" i="8"/>
  <c r="X64" i="8"/>
  <c r="W64" i="8"/>
  <c r="V64" i="8"/>
  <c r="U64" i="8"/>
  <c r="T64" i="8"/>
  <c r="S64" i="8"/>
  <c r="R64" i="8"/>
  <c r="Q64" i="8"/>
  <c r="P64" i="8"/>
  <c r="O64" i="8"/>
  <c r="X61" i="8"/>
  <c r="W61" i="8"/>
  <c r="V61" i="8"/>
  <c r="U61" i="8"/>
  <c r="T61" i="8"/>
  <c r="S61" i="8"/>
  <c r="R61" i="8"/>
  <c r="Q61" i="8"/>
  <c r="P61" i="8"/>
  <c r="O61" i="8"/>
  <c r="X60" i="8"/>
  <c r="W60" i="8"/>
  <c r="V60" i="8"/>
  <c r="U60" i="8"/>
  <c r="T60" i="8"/>
  <c r="S60" i="8"/>
  <c r="R60" i="8"/>
  <c r="Q60" i="8"/>
  <c r="P60" i="8"/>
  <c r="O60" i="8"/>
  <c r="X59" i="8"/>
  <c r="W59" i="8"/>
  <c r="V59" i="8"/>
  <c r="U59" i="8"/>
  <c r="T59" i="8"/>
  <c r="S59" i="8"/>
  <c r="R59" i="8"/>
  <c r="Q59" i="8"/>
  <c r="P59" i="8"/>
  <c r="O59" i="8"/>
  <c r="X58" i="8"/>
  <c r="W58" i="8"/>
  <c r="V58" i="8"/>
  <c r="U58" i="8"/>
  <c r="T58" i="8"/>
  <c r="S58" i="8"/>
  <c r="R58" i="8"/>
  <c r="Q58" i="8"/>
  <c r="P58" i="8"/>
  <c r="O58" i="8"/>
  <c r="X57" i="8"/>
  <c r="W57" i="8"/>
  <c r="V57" i="8"/>
  <c r="U57" i="8"/>
  <c r="T57" i="8"/>
  <c r="S57" i="8"/>
  <c r="R57" i="8"/>
  <c r="Q57" i="8"/>
  <c r="P57" i="8"/>
  <c r="O57" i="8"/>
  <c r="X56" i="8"/>
  <c r="W56" i="8"/>
  <c r="V56" i="8"/>
  <c r="U56" i="8"/>
  <c r="T56" i="8"/>
  <c r="S56" i="8"/>
  <c r="R56" i="8"/>
  <c r="Q56" i="8"/>
  <c r="P56" i="8"/>
  <c r="O56" i="8"/>
  <c r="M180" i="7"/>
  <c r="M179" i="7"/>
  <c r="M178" i="7"/>
  <c r="M177" i="7"/>
  <c r="W89" i="7" l="1"/>
  <c r="V89" i="7"/>
  <c r="U89" i="7"/>
  <c r="T89" i="7"/>
  <c r="S89" i="7"/>
  <c r="R89" i="7"/>
  <c r="Q89" i="7"/>
  <c r="P89" i="7"/>
  <c r="O89" i="7"/>
  <c r="N89" i="7"/>
  <c r="W88" i="7"/>
  <c r="V88" i="7"/>
  <c r="U88" i="7"/>
  <c r="T88" i="7"/>
  <c r="S88" i="7"/>
  <c r="R88" i="7"/>
  <c r="Q88" i="7"/>
  <c r="P88" i="7"/>
  <c r="O88" i="7"/>
  <c r="N88" i="7"/>
  <c r="W87" i="7"/>
  <c r="V87" i="7"/>
  <c r="U87" i="7"/>
  <c r="T87" i="7"/>
  <c r="S87" i="7"/>
  <c r="R87" i="7"/>
  <c r="Q87" i="7"/>
  <c r="P87" i="7"/>
  <c r="O87" i="7"/>
  <c r="N87" i="7"/>
  <c r="W86" i="7"/>
  <c r="V86" i="7"/>
  <c r="U86" i="7"/>
  <c r="T86" i="7"/>
  <c r="S86" i="7"/>
  <c r="R86" i="7"/>
  <c r="Q86" i="7"/>
  <c r="P86" i="7"/>
  <c r="O86" i="7"/>
  <c r="N86" i="7"/>
  <c r="W85" i="7"/>
  <c r="V85" i="7"/>
  <c r="U85" i="7"/>
  <c r="T85" i="7"/>
  <c r="S85" i="7"/>
  <c r="R85" i="7"/>
  <c r="Q85" i="7"/>
  <c r="P85" i="7"/>
  <c r="O85" i="7"/>
  <c r="N85" i="7"/>
  <c r="W84" i="7"/>
  <c r="V84" i="7"/>
  <c r="U84" i="7"/>
  <c r="T84" i="7"/>
  <c r="S84" i="7"/>
  <c r="R84" i="7"/>
  <c r="Q84" i="7"/>
  <c r="P84" i="7"/>
  <c r="O84" i="7"/>
  <c r="N84" i="7"/>
  <c r="W83" i="7"/>
  <c r="V83" i="7"/>
  <c r="U83" i="7"/>
  <c r="T83" i="7"/>
  <c r="S83" i="7"/>
  <c r="R83" i="7"/>
  <c r="Q83" i="7"/>
  <c r="P83" i="7"/>
  <c r="O83" i="7"/>
  <c r="N83" i="7"/>
  <c r="W80" i="7"/>
  <c r="V80" i="7"/>
  <c r="U80" i="7"/>
  <c r="T80" i="7"/>
  <c r="S80" i="7"/>
  <c r="R80" i="7"/>
  <c r="Q80" i="7"/>
  <c r="P80" i="7"/>
  <c r="O80" i="7"/>
  <c r="N80" i="7"/>
  <c r="W79" i="7"/>
  <c r="V79" i="7"/>
  <c r="U79" i="7"/>
  <c r="T79" i="7"/>
  <c r="S79" i="7"/>
  <c r="R79" i="7"/>
  <c r="Q79" i="7"/>
  <c r="P79" i="7"/>
  <c r="O79" i="7"/>
  <c r="N79" i="7"/>
  <c r="W78" i="7"/>
  <c r="V78" i="7"/>
  <c r="U78" i="7"/>
  <c r="T78" i="7"/>
  <c r="S78" i="7"/>
  <c r="R78" i="7"/>
  <c r="Q78" i="7"/>
  <c r="P78" i="7"/>
  <c r="O78" i="7"/>
  <c r="N78" i="7"/>
  <c r="W77" i="7"/>
  <c r="V77" i="7"/>
  <c r="U77" i="7"/>
  <c r="T77" i="7"/>
  <c r="S77" i="7"/>
  <c r="R77" i="7"/>
  <c r="Q77" i="7"/>
  <c r="P77" i="7"/>
  <c r="O77" i="7"/>
  <c r="N77" i="7"/>
  <c r="W76" i="7"/>
  <c r="V76" i="7"/>
  <c r="U76" i="7"/>
  <c r="T76" i="7"/>
  <c r="S76" i="7"/>
  <c r="R76" i="7"/>
  <c r="Q76" i="7"/>
  <c r="P76" i="7"/>
  <c r="O76" i="7"/>
  <c r="N76" i="7"/>
  <c r="W75" i="7"/>
  <c r="V75" i="7"/>
  <c r="U75" i="7"/>
  <c r="T75" i="7"/>
  <c r="S75" i="7"/>
  <c r="R75" i="7"/>
  <c r="Q75" i="7"/>
  <c r="P75" i="7"/>
  <c r="O75" i="7"/>
  <c r="N75" i="7"/>
  <c r="W74" i="7"/>
  <c r="V74" i="7"/>
  <c r="U74" i="7"/>
  <c r="T74" i="7"/>
  <c r="S74" i="7"/>
  <c r="R74" i="7"/>
  <c r="Q74" i="7"/>
  <c r="P74" i="7"/>
  <c r="O74" i="7"/>
  <c r="N74" i="7"/>
  <c r="W71" i="7"/>
  <c r="V71" i="7"/>
  <c r="U71" i="7"/>
  <c r="T71" i="7"/>
  <c r="S71" i="7"/>
  <c r="R71" i="7"/>
  <c r="Q71" i="7"/>
  <c r="P71" i="7"/>
  <c r="O71" i="7"/>
  <c r="N71" i="7"/>
  <c r="W70" i="7"/>
  <c r="V70" i="7"/>
  <c r="U70" i="7"/>
  <c r="T70" i="7"/>
  <c r="S70" i="7"/>
  <c r="R70" i="7"/>
  <c r="Q70" i="7"/>
  <c r="P70" i="7"/>
  <c r="O70" i="7"/>
  <c r="N70" i="7"/>
  <c r="W69" i="7"/>
  <c r="V69" i="7"/>
  <c r="U69" i="7"/>
  <c r="T69" i="7"/>
  <c r="S69" i="7"/>
  <c r="R69" i="7"/>
  <c r="Q69" i="7"/>
  <c r="P69" i="7"/>
  <c r="O69" i="7"/>
  <c r="N69" i="7"/>
  <c r="W68" i="7"/>
  <c r="V68" i="7"/>
  <c r="U68" i="7"/>
  <c r="T68" i="7"/>
  <c r="S68" i="7"/>
  <c r="R68" i="7"/>
  <c r="Q68" i="7"/>
  <c r="P68" i="7"/>
  <c r="O68" i="7"/>
  <c r="N68" i="7"/>
  <c r="W67" i="7"/>
  <c r="V67" i="7"/>
  <c r="U67" i="7"/>
  <c r="T67" i="7"/>
  <c r="S67" i="7"/>
  <c r="R67" i="7"/>
  <c r="Q67" i="7"/>
  <c r="P67" i="7"/>
  <c r="O67" i="7"/>
  <c r="N67" i="7"/>
  <c r="W66" i="7"/>
  <c r="V66" i="7"/>
  <c r="U66" i="7"/>
  <c r="T66" i="7"/>
  <c r="S66" i="7"/>
  <c r="R66" i="7"/>
  <c r="Q66" i="7"/>
  <c r="P66" i="7"/>
  <c r="O66" i="7"/>
  <c r="N66" i="7"/>
  <c r="W65" i="7"/>
  <c r="V65" i="7"/>
  <c r="U65" i="7"/>
  <c r="T65" i="7"/>
  <c r="S65" i="7"/>
  <c r="R65" i="7"/>
  <c r="Q65" i="7"/>
  <c r="P65" i="7"/>
  <c r="O65" i="7"/>
  <c r="N65" i="7"/>
  <c r="W62" i="7"/>
  <c r="V62" i="7"/>
  <c r="U62" i="7"/>
  <c r="T62" i="7"/>
  <c r="S62" i="7"/>
  <c r="R62" i="7"/>
  <c r="Q62" i="7"/>
  <c r="P62" i="7"/>
  <c r="O62" i="7"/>
  <c r="N62" i="7"/>
  <c r="W61" i="7"/>
  <c r="V61" i="7"/>
  <c r="U61" i="7"/>
  <c r="T61" i="7"/>
  <c r="S61" i="7"/>
  <c r="R61" i="7"/>
  <c r="Q61" i="7"/>
  <c r="P61" i="7"/>
  <c r="O61" i="7"/>
  <c r="N61" i="7"/>
  <c r="W60" i="7"/>
  <c r="V60" i="7"/>
  <c r="U60" i="7"/>
  <c r="T60" i="7"/>
  <c r="S60" i="7"/>
  <c r="R60" i="7"/>
  <c r="Q60" i="7"/>
  <c r="P60" i="7"/>
  <c r="O60" i="7"/>
  <c r="N60" i="7"/>
  <c r="W59" i="7"/>
  <c r="V59" i="7"/>
  <c r="U59" i="7"/>
  <c r="T59" i="7"/>
  <c r="S59" i="7"/>
  <c r="R59" i="7"/>
  <c r="Q59" i="7"/>
  <c r="P59" i="7"/>
  <c r="O59" i="7"/>
  <c r="N59" i="7"/>
  <c r="W58" i="7"/>
  <c r="V58" i="7"/>
  <c r="U58" i="7"/>
  <c r="T58" i="7"/>
  <c r="S58" i="7"/>
  <c r="R58" i="7"/>
  <c r="Q58" i="7"/>
  <c r="P58" i="7"/>
  <c r="O58" i="7"/>
  <c r="N58" i="7"/>
  <c r="W57" i="7"/>
  <c r="V57" i="7"/>
  <c r="U57" i="7"/>
  <c r="T57" i="7"/>
  <c r="S57" i="7"/>
  <c r="R57" i="7"/>
  <c r="Q57" i="7"/>
  <c r="P57" i="7"/>
  <c r="O57" i="7"/>
  <c r="N57" i="7"/>
  <c r="W56" i="7"/>
  <c r="V56" i="7"/>
  <c r="U56" i="7"/>
  <c r="T56" i="7"/>
  <c r="S56" i="7"/>
  <c r="R56" i="7"/>
  <c r="Q56" i="7"/>
  <c r="P56" i="7"/>
  <c r="O56" i="7"/>
  <c r="N56" i="7"/>
  <c r="X93" i="6"/>
  <c r="X94" i="6"/>
  <c r="X95" i="6"/>
  <c r="X96" i="6"/>
  <c r="X97" i="6"/>
  <c r="X98" i="6"/>
  <c r="X99" i="6"/>
  <c r="X100" i="6"/>
  <c r="X101" i="6"/>
  <c r="X92" i="6"/>
  <c r="S176" i="6"/>
  <c r="O176" i="6"/>
  <c r="T176" i="6" s="1"/>
  <c r="I176" i="6"/>
  <c r="K176" i="6" s="1"/>
  <c r="E176" i="6"/>
  <c r="D176" i="6"/>
  <c r="T175" i="6"/>
  <c r="S175" i="6"/>
  <c r="O175" i="6"/>
  <c r="I175" i="6"/>
  <c r="E175" i="6"/>
  <c r="D175" i="6"/>
  <c r="O174" i="6"/>
  <c r="T174" i="6" s="1"/>
  <c r="K174" i="6"/>
  <c r="J174" i="6"/>
  <c r="L174" i="6" s="1"/>
  <c r="I174" i="6"/>
  <c r="E174" i="6"/>
  <c r="D174" i="6"/>
  <c r="S174" i="6" s="1"/>
  <c r="T173" i="6"/>
  <c r="S173" i="6"/>
  <c r="O173" i="6"/>
  <c r="K173" i="6"/>
  <c r="I173" i="6"/>
  <c r="E173" i="6"/>
  <c r="D173" i="6"/>
  <c r="T172" i="6"/>
  <c r="O172" i="6"/>
  <c r="J172" i="6"/>
  <c r="I172" i="6"/>
  <c r="E172" i="6"/>
  <c r="D172" i="6"/>
  <c r="S172" i="6" s="1"/>
  <c r="S171" i="6"/>
  <c r="O171" i="6"/>
  <c r="T171" i="6" s="1"/>
  <c r="I171" i="6"/>
  <c r="E171" i="6"/>
  <c r="D171" i="6"/>
  <c r="T170" i="6"/>
  <c r="O170" i="6"/>
  <c r="I170" i="6"/>
  <c r="E170" i="6"/>
  <c r="D170" i="6"/>
  <c r="S170" i="6" s="1"/>
  <c r="O169" i="6"/>
  <c r="T169" i="6" s="1"/>
  <c r="K169" i="6"/>
  <c r="I169" i="6"/>
  <c r="J169" i="6" s="1"/>
  <c r="L169" i="6" s="1"/>
  <c r="E169" i="6"/>
  <c r="D169" i="6"/>
  <c r="S169" i="6" s="1"/>
  <c r="T168" i="6"/>
  <c r="S168" i="6"/>
  <c r="O168" i="6"/>
  <c r="I168" i="6"/>
  <c r="K168" i="6" s="1"/>
  <c r="E168" i="6"/>
  <c r="D168" i="6"/>
  <c r="S167" i="6"/>
  <c r="O167" i="6"/>
  <c r="T167" i="6" s="1"/>
  <c r="I167" i="6"/>
  <c r="E167" i="6"/>
  <c r="D167" i="6"/>
  <c r="B159" i="6"/>
  <c r="B155" i="6"/>
  <c r="B153" i="6"/>
  <c r="B161" i="6" s="1"/>
  <c r="T146" i="6"/>
  <c r="O146" i="6"/>
  <c r="I146" i="6"/>
  <c r="E146" i="6"/>
  <c r="D146" i="6"/>
  <c r="S146" i="6" s="1"/>
  <c r="O145" i="6"/>
  <c r="T145" i="6" s="1"/>
  <c r="K145" i="6"/>
  <c r="I145" i="6"/>
  <c r="J145" i="6" s="1"/>
  <c r="L145" i="6" s="1"/>
  <c r="E145" i="6"/>
  <c r="D145" i="6"/>
  <c r="S145" i="6" s="1"/>
  <c r="T144" i="6"/>
  <c r="S144" i="6"/>
  <c r="O144" i="6"/>
  <c r="I144" i="6"/>
  <c r="K144" i="6" s="1"/>
  <c r="E144" i="6"/>
  <c r="D144" i="6"/>
  <c r="S143" i="6"/>
  <c r="O143" i="6"/>
  <c r="T143" i="6" s="1"/>
  <c r="I143" i="6"/>
  <c r="E143" i="6"/>
  <c r="D143" i="6"/>
  <c r="S142" i="6"/>
  <c r="O142" i="6"/>
  <c r="T142" i="6" s="1"/>
  <c r="J142" i="6"/>
  <c r="I142" i="6"/>
  <c r="K142" i="6" s="1"/>
  <c r="E142" i="6"/>
  <c r="D142" i="6"/>
  <c r="O141" i="6"/>
  <c r="T141" i="6" s="1"/>
  <c r="I141" i="6"/>
  <c r="E141" i="6"/>
  <c r="D141" i="6"/>
  <c r="S141" i="6" s="1"/>
  <c r="S140" i="6"/>
  <c r="O140" i="6"/>
  <c r="T140" i="6" s="1"/>
  <c r="L140" i="6"/>
  <c r="P140" i="6" s="1"/>
  <c r="U140" i="6" s="1"/>
  <c r="K140" i="6"/>
  <c r="J140" i="6"/>
  <c r="I140" i="6"/>
  <c r="E140" i="6"/>
  <c r="D140" i="6"/>
  <c r="T139" i="6"/>
  <c r="S139" i="6"/>
  <c r="O139" i="6"/>
  <c r="I139" i="6"/>
  <c r="E139" i="6"/>
  <c r="D139" i="6"/>
  <c r="O138" i="6"/>
  <c r="T138" i="6" s="1"/>
  <c r="K138" i="6"/>
  <c r="J138" i="6"/>
  <c r="L138" i="6" s="1"/>
  <c r="I138" i="6"/>
  <c r="E138" i="6"/>
  <c r="D138" i="6"/>
  <c r="S138" i="6" s="1"/>
  <c r="T137" i="6"/>
  <c r="S137" i="6"/>
  <c r="O137" i="6"/>
  <c r="K137" i="6"/>
  <c r="I137" i="6"/>
  <c r="E137" i="6"/>
  <c r="D137" i="6"/>
  <c r="B129" i="6"/>
  <c r="B125" i="6"/>
  <c r="B123" i="6"/>
  <c r="B131" i="6" s="1"/>
  <c r="S116" i="6"/>
  <c r="O116" i="6"/>
  <c r="T116" i="6" s="1"/>
  <c r="L116" i="6"/>
  <c r="P116" i="6" s="1"/>
  <c r="U116" i="6" s="1"/>
  <c r="K116" i="6"/>
  <c r="J116" i="6"/>
  <c r="I116" i="6"/>
  <c r="E116" i="6"/>
  <c r="D116" i="6"/>
  <c r="T115" i="6"/>
  <c r="S115" i="6"/>
  <c r="O115" i="6"/>
  <c r="I115" i="6"/>
  <c r="E115" i="6"/>
  <c r="D115" i="6"/>
  <c r="O114" i="6"/>
  <c r="T114" i="6" s="1"/>
  <c r="K114" i="6"/>
  <c r="J114" i="6"/>
  <c r="L114" i="6" s="1"/>
  <c r="I114" i="6"/>
  <c r="E114" i="6"/>
  <c r="D114" i="6"/>
  <c r="S114" i="6" s="1"/>
  <c r="T113" i="6"/>
  <c r="S113" i="6"/>
  <c r="O113" i="6"/>
  <c r="K113" i="6"/>
  <c r="I113" i="6"/>
  <c r="E113" i="6"/>
  <c r="D113" i="6"/>
  <c r="T112" i="6"/>
  <c r="O112" i="6"/>
  <c r="J112" i="6"/>
  <c r="I112" i="6"/>
  <c r="E112" i="6"/>
  <c r="D112" i="6"/>
  <c r="S112" i="6" s="1"/>
  <c r="S111" i="6"/>
  <c r="O111" i="6"/>
  <c r="T111" i="6" s="1"/>
  <c r="I111" i="6"/>
  <c r="E111" i="6"/>
  <c r="D111" i="6"/>
  <c r="T110" i="6"/>
  <c r="O110" i="6"/>
  <c r="I110" i="6"/>
  <c r="E110" i="6"/>
  <c r="D110" i="6"/>
  <c r="S110" i="6" s="1"/>
  <c r="O109" i="6"/>
  <c r="T109" i="6" s="1"/>
  <c r="K109" i="6"/>
  <c r="I109" i="6"/>
  <c r="J109" i="6" s="1"/>
  <c r="L109" i="6" s="1"/>
  <c r="E109" i="6"/>
  <c r="D109" i="6"/>
  <c r="S109" i="6" s="1"/>
  <c r="T108" i="6"/>
  <c r="S108" i="6"/>
  <c r="O108" i="6"/>
  <c r="I108" i="6"/>
  <c r="K108" i="6" s="1"/>
  <c r="E108" i="6"/>
  <c r="D108" i="6"/>
  <c r="S107" i="6"/>
  <c r="O107" i="6"/>
  <c r="T107" i="6" s="1"/>
  <c r="I107" i="6"/>
  <c r="E107" i="6"/>
  <c r="D107" i="6"/>
  <c r="B100" i="6"/>
  <c r="B96" i="6"/>
  <c r="B94" i="6"/>
  <c r="B102" i="6" s="1"/>
  <c r="S87" i="6"/>
  <c r="O87" i="6"/>
  <c r="K87" i="6"/>
  <c r="I87" i="6"/>
  <c r="J87" i="6" s="1"/>
  <c r="L87" i="6" s="1"/>
  <c r="E87" i="6"/>
  <c r="D87" i="6"/>
  <c r="O86" i="6"/>
  <c r="I86" i="6"/>
  <c r="E86" i="6"/>
  <c r="D86" i="6"/>
  <c r="S86" i="6" s="1"/>
  <c r="O85" i="6"/>
  <c r="T85" i="6" s="1"/>
  <c r="I85" i="6"/>
  <c r="E85" i="6"/>
  <c r="D85" i="6"/>
  <c r="S85" i="6" s="1"/>
  <c r="S84" i="6"/>
  <c r="O84" i="6"/>
  <c r="T84" i="6" s="1"/>
  <c r="K84" i="6"/>
  <c r="I84" i="6"/>
  <c r="E84" i="6"/>
  <c r="D84" i="6"/>
  <c r="O83" i="6"/>
  <c r="T83" i="6" s="1"/>
  <c r="K83" i="6"/>
  <c r="J83" i="6"/>
  <c r="L83" i="6" s="1"/>
  <c r="I83" i="6"/>
  <c r="E83" i="6"/>
  <c r="D83" i="6"/>
  <c r="S82" i="6"/>
  <c r="O82" i="6"/>
  <c r="T82" i="6" s="1"/>
  <c r="I82" i="6"/>
  <c r="K82" i="6" s="1"/>
  <c r="E82" i="6"/>
  <c r="D82" i="6"/>
  <c r="S81" i="6"/>
  <c r="O81" i="6"/>
  <c r="I81" i="6"/>
  <c r="E81" i="6"/>
  <c r="D81" i="6"/>
  <c r="O80" i="6"/>
  <c r="T80" i="6" s="1"/>
  <c r="K80" i="6"/>
  <c r="J80" i="6"/>
  <c r="L80" i="6" s="1"/>
  <c r="I80" i="6"/>
  <c r="E80" i="6"/>
  <c r="D80" i="6"/>
  <c r="S80" i="6" s="1"/>
  <c r="O79" i="6"/>
  <c r="I79" i="6"/>
  <c r="K79" i="6" s="1"/>
  <c r="E79" i="6"/>
  <c r="D79" i="6"/>
  <c r="S79" i="6" s="1"/>
  <c r="S78" i="6"/>
  <c r="O78" i="6"/>
  <c r="T78" i="6" s="1"/>
  <c r="K78" i="6"/>
  <c r="I78" i="6"/>
  <c r="E78" i="6"/>
  <c r="D78" i="6"/>
  <c r="B70" i="6"/>
  <c r="B66" i="6"/>
  <c r="B64" i="6"/>
  <c r="B72" i="6" s="1"/>
  <c r="S57" i="6"/>
  <c r="O57" i="6"/>
  <c r="I57" i="6"/>
  <c r="E57" i="6"/>
  <c r="D57" i="6"/>
  <c r="O56" i="6"/>
  <c r="T56" i="6" s="1"/>
  <c r="K56" i="6"/>
  <c r="J56" i="6"/>
  <c r="I56" i="6"/>
  <c r="E56" i="6"/>
  <c r="D56" i="6"/>
  <c r="S56" i="6" s="1"/>
  <c r="O55" i="6"/>
  <c r="I55" i="6"/>
  <c r="K55" i="6" s="1"/>
  <c r="E55" i="6"/>
  <c r="D55" i="6"/>
  <c r="S55" i="6" s="1"/>
  <c r="S54" i="6"/>
  <c r="O54" i="6"/>
  <c r="K54" i="6"/>
  <c r="I54" i="6"/>
  <c r="E54" i="6"/>
  <c r="D54" i="6"/>
  <c r="S53" i="6"/>
  <c r="O53" i="6"/>
  <c r="K53" i="6"/>
  <c r="J53" i="6"/>
  <c r="I53" i="6"/>
  <c r="E53" i="6"/>
  <c r="D53" i="6"/>
  <c r="T52" i="6"/>
  <c r="O52" i="6"/>
  <c r="I52" i="6"/>
  <c r="J52" i="6" s="1"/>
  <c r="E52" i="6"/>
  <c r="D52" i="6"/>
  <c r="S52" i="6" s="1"/>
  <c r="O51" i="6"/>
  <c r="K51" i="6"/>
  <c r="I51" i="6"/>
  <c r="J51" i="6" s="1"/>
  <c r="E51" i="6"/>
  <c r="D51" i="6"/>
  <c r="S51" i="6" s="1"/>
  <c r="O50" i="6"/>
  <c r="I50" i="6"/>
  <c r="E50" i="6"/>
  <c r="D50" i="6"/>
  <c r="S50" i="6" s="1"/>
  <c r="O49" i="6"/>
  <c r="I49" i="6"/>
  <c r="E49" i="6"/>
  <c r="D49" i="6"/>
  <c r="S49" i="6" s="1"/>
  <c r="S48" i="6"/>
  <c r="O48" i="6"/>
  <c r="T48" i="6" s="1"/>
  <c r="K48" i="6"/>
  <c r="I48" i="6"/>
  <c r="J48" i="6" s="1"/>
  <c r="E48" i="6"/>
  <c r="D48" i="6"/>
  <c r="B40" i="6"/>
  <c r="B36" i="6"/>
  <c r="L53" i="6" s="1"/>
  <c r="B34" i="6"/>
  <c r="B42" i="6" s="1"/>
  <c r="M53" i="6" s="1"/>
  <c r="AY27" i="6"/>
  <c r="AU27" i="6"/>
  <c r="AQ27" i="6"/>
  <c r="AO27" i="6"/>
  <c r="AP27" i="6" s="1"/>
  <c r="AK27" i="6"/>
  <c r="AJ27" i="6"/>
  <c r="O27" i="6"/>
  <c r="I27" i="6"/>
  <c r="E27" i="6"/>
  <c r="D27" i="6"/>
  <c r="S27" i="6" s="1"/>
  <c r="AU26" i="6"/>
  <c r="AO26" i="6"/>
  <c r="AK26" i="6"/>
  <c r="AJ26" i="6"/>
  <c r="AY26" i="6" s="1"/>
  <c r="S26" i="6"/>
  <c r="O26" i="6"/>
  <c r="T26" i="6" s="1"/>
  <c r="K26" i="6"/>
  <c r="I26" i="6"/>
  <c r="J26" i="6" s="1"/>
  <c r="E26" i="6"/>
  <c r="D26" i="6"/>
  <c r="AU25" i="6"/>
  <c r="AQ25" i="6"/>
  <c r="AP25" i="6"/>
  <c r="AO25" i="6"/>
  <c r="AK25" i="6"/>
  <c r="AJ25" i="6"/>
  <c r="S25" i="6"/>
  <c r="O25" i="6"/>
  <c r="I25" i="6"/>
  <c r="K25" i="6" s="1"/>
  <c r="E25" i="6"/>
  <c r="D25" i="6"/>
  <c r="AY24" i="6"/>
  <c r="AU24" i="6"/>
  <c r="AO24" i="6"/>
  <c r="AK24" i="6"/>
  <c r="AJ24" i="6"/>
  <c r="O24" i="6"/>
  <c r="T24" i="6" s="1"/>
  <c r="K24" i="6"/>
  <c r="J24" i="6"/>
  <c r="I24" i="6"/>
  <c r="E24" i="6"/>
  <c r="D24" i="6"/>
  <c r="S24" i="6" s="1"/>
  <c r="AU23" i="6"/>
  <c r="AO23" i="6"/>
  <c r="AQ23" i="6" s="1"/>
  <c r="AK23" i="6"/>
  <c r="AJ23" i="6"/>
  <c r="AY23" i="6" s="1"/>
  <c r="S23" i="6"/>
  <c r="O23" i="6"/>
  <c r="K23" i="6"/>
  <c r="I23" i="6"/>
  <c r="E23" i="6"/>
  <c r="D23" i="6"/>
  <c r="AY22" i="6"/>
  <c r="AU22" i="6"/>
  <c r="AQ22" i="6"/>
  <c r="AP22" i="6"/>
  <c r="AO22" i="6"/>
  <c r="AK22" i="6"/>
  <c r="AJ22" i="6"/>
  <c r="O22" i="6"/>
  <c r="I22" i="6"/>
  <c r="J22" i="6" s="1"/>
  <c r="E22" i="6"/>
  <c r="D22" i="6"/>
  <c r="S22" i="6" s="1"/>
  <c r="AU21" i="6"/>
  <c r="AQ21" i="6"/>
  <c r="AO21" i="6"/>
  <c r="AP21" i="6" s="1"/>
  <c r="AK21" i="6"/>
  <c r="AJ21" i="6"/>
  <c r="AY21" i="6" s="1"/>
  <c r="O21" i="6"/>
  <c r="I21" i="6"/>
  <c r="E21" i="6"/>
  <c r="D21" i="6"/>
  <c r="S21" i="6" s="1"/>
  <c r="AU20" i="6"/>
  <c r="AO20" i="6"/>
  <c r="AQ20" i="6" s="1"/>
  <c r="AK20" i="6"/>
  <c r="AJ20" i="6"/>
  <c r="AY20" i="6" s="1"/>
  <c r="S20" i="6"/>
  <c r="O20" i="6"/>
  <c r="K20" i="6"/>
  <c r="I20" i="6"/>
  <c r="J20" i="6" s="1"/>
  <c r="E20" i="6"/>
  <c r="D20" i="6"/>
  <c r="AU19" i="6"/>
  <c r="AQ19" i="6"/>
  <c r="AP19" i="6"/>
  <c r="AO19" i="6"/>
  <c r="AK19" i="6"/>
  <c r="AJ19" i="6"/>
  <c r="S19" i="6"/>
  <c r="O19" i="6"/>
  <c r="I19" i="6"/>
  <c r="K19" i="6" s="1"/>
  <c r="E19" i="6"/>
  <c r="D19" i="6"/>
  <c r="AY18" i="6"/>
  <c r="AU18" i="6"/>
  <c r="AO18" i="6"/>
  <c r="AK18" i="6"/>
  <c r="AJ18" i="6"/>
  <c r="O18" i="6"/>
  <c r="T18" i="6" s="1"/>
  <c r="K18" i="6"/>
  <c r="J18" i="6"/>
  <c r="I18" i="6"/>
  <c r="E18" i="6"/>
  <c r="D18" i="6"/>
  <c r="S18" i="6" s="1"/>
  <c r="AH11" i="6"/>
  <c r="B11" i="6"/>
  <c r="AH7" i="6"/>
  <c r="B7" i="6"/>
  <c r="L26" i="6" s="1"/>
  <c r="AH5" i="6"/>
  <c r="B5" i="6"/>
  <c r="B13" i="6" s="1"/>
  <c r="P138" i="6" l="1"/>
  <c r="U138" i="6" s="1"/>
  <c r="M138" i="6"/>
  <c r="L142" i="6"/>
  <c r="V109" i="6"/>
  <c r="V114" i="6"/>
  <c r="X114" i="6" s="1"/>
  <c r="V140" i="6"/>
  <c r="AB95" i="6" s="1"/>
  <c r="P169" i="6"/>
  <c r="U169" i="6" s="1"/>
  <c r="M169" i="6"/>
  <c r="Z140" i="6"/>
  <c r="P109" i="6"/>
  <c r="U109" i="6" s="1"/>
  <c r="M109" i="6"/>
  <c r="V169" i="6"/>
  <c r="AC94" i="6" s="1"/>
  <c r="P145" i="6"/>
  <c r="U145" i="6" s="1"/>
  <c r="V145" i="6" s="1"/>
  <c r="M145" i="6"/>
  <c r="Y109" i="6"/>
  <c r="L137" i="6"/>
  <c r="P114" i="6"/>
  <c r="U114" i="6" s="1"/>
  <c r="M114" i="6"/>
  <c r="Z116" i="6"/>
  <c r="P174" i="6"/>
  <c r="U174" i="6" s="1"/>
  <c r="V174" i="6" s="1"/>
  <c r="M174" i="6"/>
  <c r="X140" i="6"/>
  <c r="L110" i="6"/>
  <c r="V116" i="6"/>
  <c r="X116" i="6" s="1"/>
  <c r="V138" i="6"/>
  <c r="AB93" i="6" s="1"/>
  <c r="L146" i="6"/>
  <c r="L170" i="6"/>
  <c r="J107" i="6"/>
  <c r="M116" i="6"/>
  <c r="M140" i="6"/>
  <c r="J143" i="6"/>
  <c r="L143" i="6" s="1"/>
  <c r="J167" i="6"/>
  <c r="L167" i="6" s="1"/>
  <c r="K107" i="6"/>
  <c r="L107" i="6" s="1"/>
  <c r="K143" i="6"/>
  <c r="K167" i="6"/>
  <c r="K112" i="6"/>
  <c r="L112" i="6" s="1"/>
  <c r="J141" i="6"/>
  <c r="L141" i="6" s="1"/>
  <c r="K172" i="6"/>
  <c r="L172" i="6" s="1"/>
  <c r="J110" i="6"/>
  <c r="Q116" i="6"/>
  <c r="Q140" i="6"/>
  <c r="K141" i="6"/>
  <c r="J146" i="6"/>
  <c r="J170" i="6"/>
  <c r="Q109" i="6"/>
  <c r="K110" i="6"/>
  <c r="J115" i="6"/>
  <c r="L115" i="6" s="1"/>
  <c r="J139" i="6"/>
  <c r="L139" i="6" s="1"/>
  <c r="K146" i="6"/>
  <c r="K170" i="6"/>
  <c r="J175" i="6"/>
  <c r="L175" i="6" s="1"/>
  <c r="J108" i="6"/>
  <c r="L108" i="6" s="1"/>
  <c r="Q114" i="6"/>
  <c r="K115" i="6"/>
  <c r="Q138" i="6"/>
  <c r="K139" i="6"/>
  <c r="J144" i="6"/>
  <c r="L144" i="6" s="1"/>
  <c r="J168" i="6"/>
  <c r="L168" i="6" s="1"/>
  <c r="K175" i="6"/>
  <c r="J113" i="6"/>
  <c r="L113" i="6" s="1"/>
  <c r="J137" i="6"/>
  <c r="J173" i="6"/>
  <c r="L173" i="6" s="1"/>
  <c r="J111" i="6"/>
  <c r="L111" i="6" s="1"/>
  <c r="J171" i="6"/>
  <c r="K111" i="6"/>
  <c r="K171" i="6"/>
  <c r="L171" i="6" s="1"/>
  <c r="J176" i="6"/>
  <c r="L176" i="6" s="1"/>
  <c r="AP20" i="6"/>
  <c r="AR20" i="6" s="1"/>
  <c r="AY25" i="6"/>
  <c r="V80" i="6"/>
  <c r="L78" i="6"/>
  <c r="L86" i="6"/>
  <c r="M26" i="6"/>
  <c r="P26" i="6"/>
  <c r="U26" i="6" s="1"/>
  <c r="AY19" i="6"/>
  <c r="K49" i="6"/>
  <c r="J49" i="6"/>
  <c r="L49" i="6" s="1"/>
  <c r="T51" i="6"/>
  <c r="S83" i="6"/>
  <c r="AR18" i="6"/>
  <c r="AR22" i="6"/>
  <c r="T20" i="6"/>
  <c r="T54" i="6"/>
  <c r="T55" i="6"/>
  <c r="Q53" i="6"/>
  <c r="T50" i="6"/>
  <c r="T57" i="6"/>
  <c r="T49" i="6"/>
  <c r="T53" i="6"/>
  <c r="P87" i="6"/>
  <c r="U87" i="6" s="1"/>
  <c r="M87" i="6"/>
  <c r="AH13" i="6"/>
  <c r="AW21" i="6" s="1"/>
  <c r="AR27" i="6"/>
  <c r="AR21" i="6"/>
  <c r="L84" i="6"/>
  <c r="L18" i="6"/>
  <c r="Q26" i="6"/>
  <c r="P53" i="6"/>
  <c r="U53" i="6" s="1"/>
  <c r="T21" i="6"/>
  <c r="L24" i="6"/>
  <c r="L27" i="6"/>
  <c r="T79" i="6"/>
  <c r="T86" i="6"/>
  <c r="T81" i="6"/>
  <c r="L81" i="6"/>
  <c r="P83" i="6"/>
  <c r="U83" i="6" s="1"/>
  <c r="M83" i="6"/>
  <c r="K85" i="6"/>
  <c r="J85" i="6"/>
  <c r="L85" i="6" s="1"/>
  <c r="T87" i="6"/>
  <c r="M80" i="6"/>
  <c r="P80" i="6"/>
  <c r="U80" i="6" s="1"/>
  <c r="AQ26" i="6"/>
  <c r="AP26" i="6"/>
  <c r="AR26" i="6" s="1"/>
  <c r="T23" i="6"/>
  <c r="T19" i="6"/>
  <c r="T27" i="6"/>
  <c r="T22" i="6"/>
  <c r="L79" i="6"/>
  <c r="T25" i="6"/>
  <c r="L50" i="6"/>
  <c r="L54" i="6"/>
  <c r="L51" i="6"/>
  <c r="J23" i="6"/>
  <c r="L23" i="6" s="1"/>
  <c r="J54" i="6"/>
  <c r="L56" i="6"/>
  <c r="J78" i="6"/>
  <c r="AR19" i="6"/>
  <c r="K22" i="6"/>
  <c r="AP24" i="6"/>
  <c r="AR25" i="6"/>
  <c r="K52" i="6"/>
  <c r="L52" i="6" s="1"/>
  <c r="J57" i="6"/>
  <c r="L57" i="6" s="1"/>
  <c r="J81" i="6"/>
  <c r="AP18" i="6"/>
  <c r="AQ18" i="6"/>
  <c r="J21" i="6"/>
  <c r="L22" i="6"/>
  <c r="AQ24" i="6"/>
  <c r="AR24" i="6" s="1"/>
  <c r="V26" i="6"/>
  <c r="X26" i="6" s="1"/>
  <c r="J27" i="6"/>
  <c r="J50" i="6"/>
  <c r="K57" i="6"/>
  <c r="K81" i="6"/>
  <c r="J86" i="6"/>
  <c r="K21" i="6"/>
  <c r="L21" i="6" s="1"/>
  <c r="AP23" i="6"/>
  <c r="AR23" i="6" s="1"/>
  <c r="K27" i="6"/>
  <c r="K50" i="6"/>
  <c r="J55" i="6"/>
  <c r="L55" i="6" s="1"/>
  <c r="J79" i="6"/>
  <c r="K86" i="6"/>
  <c r="J84" i="6"/>
  <c r="J19" i="6"/>
  <c r="L19" i="6" s="1"/>
  <c r="L20" i="6"/>
  <c r="J25" i="6"/>
  <c r="L25" i="6" s="1"/>
  <c r="L48" i="6"/>
  <c r="J82" i="6"/>
  <c r="L82" i="6" s="1"/>
  <c r="P139" i="6" l="1"/>
  <c r="M139" i="6"/>
  <c r="P167" i="6"/>
  <c r="M167" i="6"/>
  <c r="P112" i="6"/>
  <c r="M112" i="6"/>
  <c r="P107" i="6"/>
  <c r="M107" i="6"/>
  <c r="M111" i="6"/>
  <c r="P111" i="6"/>
  <c r="P115" i="6"/>
  <c r="M115" i="6"/>
  <c r="AC99" i="6"/>
  <c r="X174" i="6"/>
  <c r="Y174" i="6"/>
  <c r="M171" i="6"/>
  <c r="P171" i="6"/>
  <c r="P172" i="6"/>
  <c r="M172" i="6"/>
  <c r="M113" i="6"/>
  <c r="P113" i="6"/>
  <c r="P143" i="6"/>
  <c r="M143" i="6"/>
  <c r="P175" i="6"/>
  <c r="M175" i="6"/>
  <c r="M173" i="6"/>
  <c r="P173" i="6"/>
  <c r="P141" i="6"/>
  <c r="M141" i="6"/>
  <c r="AB100" i="6"/>
  <c r="X145" i="6"/>
  <c r="Y145" i="6"/>
  <c r="Y140" i="6"/>
  <c r="AA94" i="6"/>
  <c r="AA99" i="6"/>
  <c r="Y114" i="6"/>
  <c r="X169" i="6"/>
  <c r="X109" i="6"/>
  <c r="M137" i="6"/>
  <c r="P137" i="6"/>
  <c r="Z169" i="6"/>
  <c r="P108" i="6"/>
  <c r="M108" i="6"/>
  <c r="Y116" i="6"/>
  <c r="Z109" i="6"/>
  <c r="P170" i="6"/>
  <c r="M170" i="6"/>
  <c r="P176" i="6"/>
  <c r="M176" i="6"/>
  <c r="X138" i="6"/>
  <c r="P146" i="6"/>
  <c r="M146" i="6"/>
  <c r="Q174" i="6"/>
  <c r="Q169" i="6"/>
  <c r="M142" i="6"/>
  <c r="P142" i="6"/>
  <c r="P110" i="6"/>
  <c r="M110" i="6"/>
  <c r="Z174" i="6"/>
  <c r="P168" i="6"/>
  <c r="M168" i="6"/>
  <c r="Z145" i="6"/>
  <c r="AA101" i="6"/>
  <c r="P144" i="6"/>
  <c r="M144" i="6"/>
  <c r="Q145" i="6"/>
  <c r="Y138" i="6"/>
  <c r="Z114" i="6"/>
  <c r="Y169" i="6"/>
  <c r="Z138" i="6"/>
  <c r="AV26" i="6"/>
  <c r="BA26" i="6" s="1"/>
  <c r="AS26" i="6"/>
  <c r="AV24" i="6"/>
  <c r="BA24" i="6" s="1"/>
  <c r="AS24" i="6"/>
  <c r="P49" i="6"/>
  <c r="M49" i="6"/>
  <c r="AS23" i="6"/>
  <c r="AV23" i="6"/>
  <c r="BA23" i="6" s="1"/>
  <c r="P21" i="6"/>
  <c r="M21" i="6"/>
  <c r="P52" i="6"/>
  <c r="M52" i="6"/>
  <c r="M55" i="6"/>
  <c r="P55" i="6"/>
  <c r="P23" i="6"/>
  <c r="M23" i="6"/>
  <c r="P57" i="6"/>
  <c r="M57" i="6"/>
  <c r="M85" i="6"/>
  <c r="P85" i="6"/>
  <c r="AS20" i="6"/>
  <c r="AV20" i="6"/>
  <c r="BA20" i="6" s="1"/>
  <c r="AV22" i="6"/>
  <c r="BA22" i="6" s="1"/>
  <c r="AS22" i="6"/>
  <c r="P86" i="6"/>
  <c r="M86" i="6"/>
  <c r="P82" i="6"/>
  <c r="M82" i="6"/>
  <c r="P51" i="6"/>
  <c r="M51" i="6"/>
  <c r="P81" i="6"/>
  <c r="M81" i="6"/>
  <c r="M24" i="6"/>
  <c r="P24" i="6"/>
  <c r="AV27" i="6"/>
  <c r="BA27" i="6" s="1"/>
  <c r="AS27" i="6"/>
  <c r="AV18" i="6"/>
  <c r="BA18" i="6" s="1"/>
  <c r="AS18" i="6"/>
  <c r="AW18" i="6"/>
  <c r="P78" i="6"/>
  <c r="M78" i="6"/>
  <c r="X80" i="6"/>
  <c r="M48" i="6"/>
  <c r="P48" i="6"/>
  <c r="AW27" i="6"/>
  <c r="P22" i="6"/>
  <c r="M22" i="6"/>
  <c r="AZ22" i="6"/>
  <c r="AW24" i="6"/>
  <c r="BB25" i="6"/>
  <c r="X10" i="6" s="1"/>
  <c r="Y26" i="6"/>
  <c r="P19" i="6"/>
  <c r="M19" i="6"/>
  <c r="Q83" i="6"/>
  <c r="AV21" i="6"/>
  <c r="BA21" i="6" s="1"/>
  <c r="AS21" i="6"/>
  <c r="AZ25" i="6"/>
  <c r="AZ19" i="6"/>
  <c r="AZ23" i="6"/>
  <c r="AW22" i="6"/>
  <c r="AZ24" i="6"/>
  <c r="AW23" i="6"/>
  <c r="AZ18" i="6"/>
  <c r="AW20" i="6"/>
  <c r="P25" i="6"/>
  <c r="M25" i="6"/>
  <c r="AW25" i="6"/>
  <c r="X83" i="6"/>
  <c r="V83" i="6"/>
  <c r="AZ21" i="6"/>
  <c r="P54" i="6"/>
  <c r="M54" i="6"/>
  <c r="AZ26" i="6"/>
  <c r="V53" i="6"/>
  <c r="Y53" i="6"/>
  <c r="AZ20" i="6"/>
  <c r="Y80" i="6"/>
  <c r="Z83" i="6"/>
  <c r="AV25" i="6"/>
  <c r="BA25" i="6" s="1"/>
  <c r="AS25" i="6"/>
  <c r="P50" i="6"/>
  <c r="M50" i="6"/>
  <c r="V87" i="6"/>
  <c r="AV19" i="6"/>
  <c r="BA19" i="6" s="1"/>
  <c r="AS19" i="6"/>
  <c r="M84" i="6"/>
  <c r="P84" i="6"/>
  <c r="Q87" i="6"/>
  <c r="M56" i="6"/>
  <c r="P56" i="6"/>
  <c r="Z26" i="6"/>
  <c r="P27" i="6"/>
  <c r="M27" i="6"/>
  <c r="M79" i="6"/>
  <c r="P79" i="6"/>
  <c r="P18" i="6"/>
  <c r="M18" i="6"/>
  <c r="Z80" i="6"/>
  <c r="M20" i="6"/>
  <c r="P20" i="6"/>
  <c r="Q80" i="6"/>
  <c r="AZ27" i="6"/>
  <c r="AW26" i="6"/>
  <c r="AW19" i="6"/>
  <c r="U110" i="6" l="1"/>
  <c r="Q110" i="6"/>
  <c r="U115" i="6"/>
  <c r="Q115" i="6"/>
  <c r="U175" i="6"/>
  <c r="Q175" i="6"/>
  <c r="U142" i="6"/>
  <c r="Q142" i="6"/>
  <c r="U143" i="6"/>
  <c r="Q143" i="6"/>
  <c r="U111" i="6"/>
  <c r="Q111" i="6"/>
  <c r="U170" i="6"/>
  <c r="Q170" i="6"/>
  <c r="U113" i="6"/>
  <c r="Q113" i="6"/>
  <c r="Q108" i="6"/>
  <c r="U108" i="6"/>
  <c r="Q144" i="6"/>
  <c r="U144" i="6"/>
  <c r="U107" i="6"/>
  <c r="Q107" i="6"/>
  <c r="U137" i="6"/>
  <c r="Q137" i="6"/>
  <c r="U172" i="6"/>
  <c r="Q172" i="6"/>
  <c r="U146" i="6"/>
  <c r="Q146" i="6"/>
  <c r="U171" i="6"/>
  <c r="Q171" i="6"/>
  <c r="U112" i="6"/>
  <c r="Q112" i="6"/>
  <c r="U141" i="6"/>
  <c r="Q141" i="6"/>
  <c r="U173" i="6"/>
  <c r="Q173" i="6"/>
  <c r="U167" i="6"/>
  <c r="Q167" i="6"/>
  <c r="U168" i="6"/>
  <c r="Q168" i="6"/>
  <c r="U176" i="6"/>
  <c r="Q176" i="6"/>
  <c r="U139" i="6"/>
  <c r="Q139" i="6"/>
  <c r="BE27" i="6"/>
  <c r="BB27" i="6"/>
  <c r="U27" i="6"/>
  <c r="Q27" i="6"/>
  <c r="BE25" i="6"/>
  <c r="BD25" i="6"/>
  <c r="U52" i="6"/>
  <c r="Q52" i="6"/>
  <c r="BF19" i="6"/>
  <c r="U81" i="6"/>
  <c r="Q81" i="6"/>
  <c r="U20" i="6"/>
  <c r="Q20" i="6"/>
  <c r="X87" i="6"/>
  <c r="BB20" i="6"/>
  <c r="BF21" i="6"/>
  <c r="BB22" i="6"/>
  <c r="BF22" i="6" s="1"/>
  <c r="U78" i="6"/>
  <c r="Q78" i="6"/>
  <c r="U85" i="6"/>
  <c r="Q85" i="6"/>
  <c r="U21" i="6"/>
  <c r="Q21" i="6"/>
  <c r="U25" i="6"/>
  <c r="Q25" i="6"/>
  <c r="BB26" i="6"/>
  <c r="BF26" i="6" s="1"/>
  <c r="Y87" i="6"/>
  <c r="U22" i="6"/>
  <c r="Q22" i="6"/>
  <c r="U82" i="6"/>
  <c r="Q82" i="6"/>
  <c r="U57" i="6"/>
  <c r="Q57" i="6"/>
  <c r="U51" i="6"/>
  <c r="Q51" i="6"/>
  <c r="X53" i="6"/>
  <c r="U18" i="6"/>
  <c r="Q18" i="6"/>
  <c r="U56" i="6"/>
  <c r="Q56" i="6"/>
  <c r="BB18" i="6"/>
  <c r="U49" i="6"/>
  <c r="Q49" i="6"/>
  <c r="U79" i="6"/>
  <c r="Q79" i="6"/>
  <c r="U54" i="6"/>
  <c r="Q54" i="6"/>
  <c r="U19" i="6"/>
  <c r="Q19" i="6"/>
  <c r="BE24" i="6"/>
  <c r="BB24" i="6"/>
  <c r="Z87" i="6"/>
  <c r="U48" i="6"/>
  <c r="Q48" i="6"/>
  <c r="BF27" i="6"/>
  <c r="U86" i="6"/>
  <c r="Q86" i="6"/>
  <c r="U23" i="6"/>
  <c r="Q23" i="6"/>
  <c r="BF24" i="6"/>
  <c r="U50" i="6"/>
  <c r="Q50" i="6"/>
  <c r="U84" i="6"/>
  <c r="Q84" i="6"/>
  <c r="BE21" i="6"/>
  <c r="BB21" i="6"/>
  <c r="Z53" i="6"/>
  <c r="U55" i="6"/>
  <c r="Q55" i="6"/>
  <c r="BF25" i="6"/>
  <c r="Y83" i="6"/>
  <c r="BB23" i="6"/>
  <c r="BB19" i="6"/>
  <c r="U24" i="6"/>
  <c r="Q24" i="6"/>
  <c r="V173" i="6" l="1"/>
  <c r="V137" i="6"/>
  <c r="V111" i="6"/>
  <c r="V144" i="6"/>
  <c r="V107" i="6"/>
  <c r="Z107" i="6" s="1"/>
  <c r="V139" i="6"/>
  <c r="V112" i="6"/>
  <c r="V142" i="6"/>
  <c r="V108" i="6"/>
  <c r="V171" i="6"/>
  <c r="V175" i="6"/>
  <c r="Z175" i="6" s="1"/>
  <c r="V143" i="6"/>
  <c r="Z143" i="6" s="1"/>
  <c r="V176" i="6"/>
  <c r="V168" i="6"/>
  <c r="Z168" i="6" s="1"/>
  <c r="V146" i="6"/>
  <c r="V113" i="6"/>
  <c r="V115" i="6"/>
  <c r="V141" i="6"/>
  <c r="Z141" i="6" s="1"/>
  <c r="V167" i="6"/>
  <c r="V172" i="6"/>
  <c r="Z172" i="6" s="1"/>
  <c r="V170" i="6"/>
  <c r="V110" i="6"/>
  <c r="V78" i="6"/>
  <c r="V23" i="6"/>
  <c r="V54" i="6"/>
  <c r="BE26" i="6"/>
  <c r="X5" i="6"/>
  <c r="AC5" i="6" s="1"/>
  <c r="BD20" i="6"/>
  <c r="X8" i="6"/>
  <c r="BD23" i="6"/>
  <c r="Z19" i="6"/>
  <c r="V19" i="6"/>
  <c r="V86" i="6"/>
  <c r="Z51" i="6"/>
  <c r="V51" i="6"/>
  <c r="V25" i="6"/>
  <c r="BE20" i="6"/>
  <c r="V56" i="6"/>
  <c r="Z56" i="6" s="1"/>
  <c r="V18" i="6"/>
  <c r="Z52" i="6"/>
  <c r="V52" i="6"/>
  <c r="BF23" i="6"/>
  <c r="Z27" i="6"/>
  <c r="V27" i="6"/>
  <c r="BE23" i="6"/>
  <c r="V79" i="6"/>
  <c r="Z79" i="6" s="1"/>
  <c r="X6" i="6"/>
  <c r="BD21" i="6"/>
  <c r="V49" i="6"/>
  <c r="Z57" i="6"/>
  <c r="V57" i="6"/>
  <c r="BD27" i="6"/>
  <c r="X12" i="6"/>
  <c r="AC12" i="6" s="1"/>
  <c r="V48" i="6"/>
  <c r="X3" i="6"/>
  <c r="BD18" i="6"/>
  <c r="V21" i="6"/>
  <c r="V81" i="6"/>
  <c r="Z50" i="6"/>
  <c r="V50" i="6"/>
  <c r="X7" i="6"/>
  <c r="BD22" i="6"/>
  <c r="BE22" i="6"/>
  <c r="V55" i="6"/>
  <c r="V24" i="6"/>
  <c r="Z24" i="6" s="1"/>
  <c r="BE18" i="6"/>
  <c r="V82" i="6"/>
  <c r="Z20" i="6"/>
  <c r="V20" i="6"/>
  <c r="BF20" i="6"/>
  <c r="Z22" i="6"/>
  <c r="V22" i="6"/>
  <c r="X11" i="6"/>
  <c r="AA11" i="6" s="1"/>
  <c r="BD26" i="6"/>
  <c r="X4" i="6"/>
  <c r="BD19" i="6"/>
  <c r="Z84" i="6"/>
  <c r="V84" i="6"/>
  <c r="X9" i="6"/>
  <c r="BD24" i="6"/>
  <c r="BF18" i="6"/>
  <c r="V85" i="6"/>
  <c r="BE19" i="6"/>
  <c r="AB94" i="6" l="1"/>
  <c r="AD94" i="6" s="1"/>
  <c r="Y139" i="6"/>
  <c r="X139" i="6"/>
  <c r="Y94" i="6"/>
  <c r="Z94" i="6" s="1"/>
  <c r="Z139" i="6"/>
  <c r="AB96" i="6"/>
  <c r="X141" i="6"/>
  <c r="Y141" i="6"/>
  <c r="AA95" i="6"/>
  <c r="AD95" i="6" s="1"/>
  <c r="Y95" i="6"/>
  <c r="Z95" i="6" s="1"/>
  <c r="X110" i="6"/>
  <c r="Y110" i="6"/>
  <c r="AA98" i="6"/>
  <c r="Y98" i="6"/>
  <c r="Z98" i="6" s="1"/>
  <c r="X113" i="6"/>
  <c r="Y113" i="6"/>
  <c r="AC96" i="6"/>
  <c r="Y171" i="6"/>
  <c r="X171" i="6"/>
  <c r="AB99" i="6"/>
  <c r="AD99" i="6" s="1"/>
  <c r="Y144" i="6"/>
  <c r="X144" i="6"/>
  <c r="Y99" i="6"/>
  <c r="Z99" i="6" s="1"/>
  <c r="Z110" i="6"/>
  <c r="Z113" i="6"/>
  <c r="Z171" i="6"/>
  <c r="Z144" i="6"/>
  <c r="AC95" i="6"/>
  <c r="X170" i="6"/>
  <c r="Y170" i="6"/>
  <c r="AB101" i="6"/>
  <c r="X146" i="6"/>
  <c r="Y146" i="6"/>
  <c r="Y101" i="6"/>
  <c r="Z101" i="6" s="1"/>
  <c r="AA93" i="6"/>
  <c r="AD93" i="6" s="1"/>
  <c r="Y93" i="6"/>
  <c r="Z93" i="6" s="1"/>
  <c r="Y108" i="6"/>
  <c r="X108" i="6"/>
  <c r="AA96" i="6"/>
  <c r="AD96" i="6" s="1"/>
  <c r="Y96" i="6"/>
  <c r="Z96" i="6" s="1"/>
  <c r="Y111" i="6"/>
  <c r="X111" i="6"/>
  <c r="Z170" i="6"/>
  <c r="Z146" i="6"/>
  <c r="Z108" i="6"/>
  <c r="Z111" i="6"/>
  <c r="AA92" i="6"/>
  <c r="AD92" i="6" s="1"/>
  <c r="Y92" i="6"/>
  <c r="Z92" i="6" s="1"/>
  <c r="X107" i="6"/>
  <c r="Y107" i="6"/>
  <c r="AB97" i="6"/>
  <c r="X142" i="6"/>
  <c r="Y142" i="6"/>
  <c r="AB92" i="6"/>
  <c r="X137" i="6"/>
  <c r="Y137" i="6"/>
  <c r="AA100" i="6"/>
  <c r="AD100" i="6" s="1"/>
  <c r="Y100" i="6"/>
  <c r="Z100" i="6" s="1"/>
  <c r="X115" i="6"/>
  <c r="Y115" i="6"/>
  <c r="Z142" i="6"/>
  <c r="Z137" i="6"/>
  <c r="AC100" i="6"/>
  <c r="Y175" i="6"/>
  <c r="X175" i="6"/>
  <c r="AC93" i="6"/>
  <c r="Y168" i="6"/>
  <c r="X168" i="6"/>
  <c r="X167" i="6"/>
  <c r="AC92" i="6"/>
  <c r="Y167" i="6"/>
  <c r="AC101" i="6"/>
  <c r="X176" i="6"/>
  <c r="Y176" i="6"/>
  <c r="Y97" i="6"/>
  <c r="Z97" i="6" s="1"/>
  <c r="AA97" i="6"/>
  <c r="Y112" i="6"/>
  <c r="X112" i="6"/>
  <c r="AC98" i="6"/>
  <c r="X173" i="6"/>
  <c r="Y173" i="6"/>
  <c r="X143" i="6"/>
  <c r="AB98" i="6"/>
  <c r="Y143" i="6"/>
  <c r="Z115" i="6"/>
  <c r="Y172" i="6"/>
  <c r="AC97" i="6"/>
  <c r="X172" i="6"/>
  <c r="Z167" i="6"/>
  <c r="Z176" i="6"/>
  <c r="Z112" i="6"/>
  <c r="Z173" i="6"/>
  <c r="AC7" i="6"/>
  <c r="X82" i="6"/>
  <c r="Y82" i="6"/>
  <c r="AC6" i="6"/>
  <c r="X81" i="6"/>
  <c r="Y81" i="6"/>
  <c r="AB4" i="6"/>
  <c r="X49" i="6"/>
  <c r="Y49" i="6"/>
  <c r="Y3" i="6"/>
  <c r="Z3" i="6" s="1"/>
  <c r="AA3" i="6"/>
  <c r="Y18" i="6"/>
  <c r="X18" i="6"/>
  <c r="AC9" i="6"/>
  <c r="Y84" i="6"/>
  <c r="X84" i="6"/>
  <c r="Z82" i="6"/>
  <c r="Z81" i="6"/>
  <c r="Z49" i="6"/>
  <c r="Z18" i="6"/>
  <c r="AB10" i="6"/>
  <c r="X55" i="6"/>
  <c r="Y55" i="6"/>
  <c r="AA10" i="6"/>
  <c r="Y10" i="6"/>
  <c r="Z10" i="6" s="1"/>
  <c r="X25" i="6"/>
  <c r="Y25" i="6"/>
  <c r="Z55" i="6"/>
  <c r="AB3" i="6"/>
  <c r="X48" i="6"/>
  <c r="Y48" i="6"/>
  <c r="Z25" i="6"/>
  <c r="AB9" i="6"/>
  <c r="X54" i="6"/>
  <c r="Y54" i="6"/>
  <c r="AA6" i="6"/>
  <c r="Y6" i="6"/>
  <c r="Z6" i="6" s="1"/>
  <c r="X21" i="6"/>
  <c r="Y21" i="6"/>
  <c r="Y7" i="6"/>
  <c r="Z7" i="6" s="1"/>
  <c r="AA7" i="6"/>
  <c r="AD7" i="6" s="1"/>
  <c r="X22" i="6"/>
  <c r="Y22" i="6"/>
  <c r="Z48" i="6"/>
  <c r="AA12" i="6"/>
  <c r="Y12" i="6"/>
  <c r="Z12" i="6" s="1"/>
  <c r="X27" i="6"/>
  <c r="Y27" i="6"/>
  <c r="AB6" i="6"/>
  <c r="X51" i="6"/>
  <c r="Y51" i="6"/>
  <c r="Z54" i="6"/>
  <c r="X85" i="6"/>
  <c r="AC10" i="6"/>
  <c r="Y85" i="6"/>
  <c r="AA8" i="6"/>
  <c r="AD8" i="6" s="1"/>
  <c r="Y8" i="6"/>
  <c r="Z8" i="6" s="1"/>
  <c r="X23" i="6"/>
  <c r="Y23" i="6"/>
  <c r="AB8" i="6"/>
  <c r="AC8" i="6"/>
  <c r="Z21" i="6"/>
  <c r="Z85" i="6"/>
  <c r="AC11" i="6"/>
  <c r="X86" i="6"/>
  <c r="Y86" i="6"/>
  <c r="Z23" i="6"/>
  <c r="AB11" i="6"/>
  <c r="AD11" i="6" s="1"/>
  <c r="Y56" i="6"/>
  <c r="X56" i="6"/>
  <c r="Y11" i="6"/>
  <c r="Z11" i="6" s="1"/>
  <c r="AC4" i="6"/>
  <c r="X79" i="6"/>
  <c r="Y79" i="6"/>
  <c r="AA5" i="6"/>
  <c r="Y5" i="6"/>
  <c r="Z5" i="6" s="1"/>
  <c r="X20" i="6"/>
  <c r="Y20" i="6"/>
  <c r="AB5" i="6"/>
  <c r="X50" i="6"/>
  <c r="Y50" i="6"/>
  <c r="AB12" i="6"/>
  <c r="X57" i="6"/>
  <c r="Y57" i="6"/>
  <c r="AB7" i="6"/>
  <c r="X52" i="6"/>
  <c r="Y52" i="6"/>
  <c r="Z86" i="6"/>
  <c r="AC3" i="6"/>
  <c r="X78" i="6"/>
  <c r="Y78" i="6"/>
  <c r="AA9" i="6"/>
  <c r="AD9" i="6" s="1"/>
  <c r="Y9" i="6"/>
  <c r="Z9" i="6" s="1"/>
  <c r="Y24" i="6"/>
  <c r="X24" i="6"/>
  <c r="Y4" i="6"/>
  <c r="Z4" i="6" s="1"/>
  <c r="AA4" i="6"/>
  <c r="X19" i="6"/>
  <c r="Y19" i="6"/>
  <c r="Z78" i="6"/>
  <c r="AD101" i="6" l="1"/>
  <c r="AD97" i="6"/>
  <c r="AD98" i="6"/>
  <c r="AD12" i="6"/>
  <c r="AD3" i="6"/>
  <c r="AD5" i="6"/>
  <c r="AD4" i="6"/>
  <c r="AD6" i="6"/>
  <c r="AD10" i="6"/>
  <c r="X121" i="5" l="1"/>
  <c r="X122" i="5"/>
  <c r="X123" i="5"/>
  <c r="X124" i="5"/>
  <c r="X125" i="5"/>
  <c r="X126" i="5"/>
  <c r="X127" i="5"/>
  <c r="X128" i="5"/>
  <c r="X129" i="5"/>
  <c r="X120" i="5"/>
  <c r="S204" i="5"/>
  <c r="O204" i="5"/>
  <c r="T204" i="5" s="1"/>
  <c r="J204" i="5"/>
  <c r="I204" i="5"/>
  <c r="K204" i="5" s="1"/>
  <c r="L204" i="5" s="1"/>
  <c r="E204" i="5"/>
  <c r="D204" i="5"/>
  <c r="T203" i="5"/>
  <c r="S203" i="5"/>
  <c r="O203" i="5"/>
  <c r="K203" i="5"/>
  <c r="I203" i="5"/>
  <c r="E203" i="5"/>
  <c r="D203" i="5"/>
  <c r="O202" i="5"/>
  <c r="T202" i="5" s="1"/>
  <c r="K202" i="5"/>
  <c r="J202" i="5"/>
  <c r="L202" i="5" s="1"/>
  <c r="I202" i="5"/>
  <c r="E202" i="5"/>
  <c r="D202" i="5"/>
  <c r="S202" i="5" s="1"/>
  <c r="T201" i="5"/>
  <c r="S201" i="5"/>
  <c r="O201" i="5"/>
  <c r="I201" i="5"/>
  <c r="E201" i="5"/>
  <c r="D201" i="5"/>
  <c r="S200" i="5"/>
  <c r="O200" i="5"/>
  <c r="T200" i="5" s="1"/>
  <c r="I200" i="5"/>
  <c r="E200" i="5"/>
  <c r="D200" i="5"/>
  <c r="O199" i="5"/>
  <c r="T199" i="5" s="1"/>
  <c r="K199" i="5"/>
  <c r="I199" i="5"/>
  <c r="E199" i="5"/>
  <c r="D199" i="5"/>
  <c r="S199" i="5" s="1"/>
  <c r="T198" i="5"/>
  <c r="O198" i="5"/>
  <c r="I198" i="5"/>
  <c r="E198" i="5"/>
  <c r="D198" i="5"/>
  <c r="S198" i="5" s="1"/>
  <c r="S197" i="5"/>
  <c r="O197" i="5"/>
  <c r="T197" i="5" s="1"/>
  <c r="K197" i="5"/>
  <c r="I197" i="5"/>
  <c r="J197" i="5" s="1"/>
  <c r="L197" i="5" s="1"/>
  <c r="E197" i="5"/>
  <c r="D197" i="5"/>
  <c r="T196" i="5"/>
  <c r="S196" i="5"/>
  <c r="O196" i="5"/>
  <c r="J196" i="5"/>
  <c r="I196" i="5"/>
  <c r="E196" i="5"/>
  <c r="D196" i="5"/>
  <c r="T195" i="5"/>
  <c r="O195" i="5"/>
  <c r="I195" i="5"/>
  <c r="E195" i="5"/>
  <c r="D195" i="5"/>
  <c r="S195" i="5" s="1"/>
  <c r="B187" i="5"/>
  <c r="B183" i="5"/>
  <c r="B181" i="5"/>
  <c r="B189" i="5" s="1"/>
  <c r="T174" i="5"/>
  <c r="O174" i="5"/>
  <c r="I174" i="5"/>
  <c r="E174" i="5"/>
  <c r="D174" i="5"/>
  <c r="S174" i="5" s="1"/>
  <c r="S173" i="5"/>
  <c r="O173" i="5"/>
  <c r="T173" i="5" s="1"/>
  <c r="K173" i="5"/>
  <c r="I173" i="5"/>
  <c r="J173" i="5" s="1"/>
  <c r="L173" i="5" s="1"/>
  <c r="E173" i="5"/>
  <c r="D173" i="5"/>
  <c r="T172" i="5"/>
  <c r="S172" i="5"/>
  <c r="O172" i="5"/>
  <c r="J172" i="5"/>
  <c r="L172" i="5" s="1"/>
  <c r="I172" i="5"/>
  <c r="K172" i="5" s="1"/>
  <c r="E172" i="5"/>
  <c r="D172" i="5"/>
  <c r="T171" i="5"/>
  <c r="O171" i="5"/>
  <c r="I171" i="5"/>
  <c r="E171" i="5"/>
  <c r="D171" i="5"/>
  <c r="S171" i="5" s="1"/>
  <c r="S170" i="5"/>
  <c r="O170" i="5"/>
  <c r="T170" i="5" s="1"/>
  <c r="L170" i="5"/>
  <c r="M170" i="5" s="1"/>
  <c r="K170" i="5"/>
  <c r="J170" i="5"/>
  <c r="I170" i="5"/>
  <c r="E170" i="5"/>
  <c r="D170" i="5"/>
  <c r="O169" i="5"/>
  <c r="T169" i="5" s="1"/>
  <c r="I169" i="5"/>
  <c r="E169" i="5"/>
  <c r="D169" i="5"/>
  <c r="S169" i="5" s="1"/>
  <c r="O168" i="5"/>
  <c r="T168" i="5" s="1"/>
  <c r="J168" i="5"/>
  <c r="I168" i="5"/>
  <c r="K168" i="5" s="1"/>
  <c r="L168" i="5" s="1"/>
  <c r="E168" i="5"/>
  <c r="D168" i="5"/>
  <c r="S168" i="5" s="1"/>
  <c r="T167" i="5"/>
  <c r="S167" i="5"/>
  <c r="O167" i="5"/>
  <c r="K167" i="5"/>
  <c r="I167" i="5"/>
  <c r="E167" i="5"/>
  <c r="D167" i="5"/>
  <c r="O166" i="5"/>
  <c r="T166" i="5" s="1"/>
  <c r="K166" i="5"/>
  <c r="J166" i="5"/>
  <c r="L166" i="5" s="1"/>
  <c r="I166" i="5"/>
  <c r="E166" i="5"/>
  <c r="D166" i="5"/>
  <c r="S166" i="5" s="1"/>
  <c r="T165" i="5"/>
  <c r="S165" i="5"/>
  <c r="O165" i="5"/>
  <c r="I165" i="5"/>
  <c r="E165" i="5"/>
  <c r="D165" i="5"/>
  <c r="B157" i="5"/>
  <c r="B153" i="5"/>
  <c r="B151" i="5"/>
  <c r="B159" i="5" s="1"/>
  <c r="T144" i="5"/>
  <c r="O144" i="5"/>
  <c r="J144" i="5"/>
  <c r="I144" i="5"/>
  <c r="K144" i="5" s="1"/>
  <c r="L144" i="5" s="1"/>
  <c r="E144" i="5"/>
  <c r="D144" i="5"/>
  <c r="S144" i="5" s="1"/>
  <c r="T143" i="5"/>
  <c r="S143" i="5"/>
  <c r="O143" i="5"/>
  <c r="K143" i="5"/>
  <c r="I143" i="5"/>
  <c r="E143" i="5"/>
  <c r="D143" i="5"/>
  <c r="O142" i="5"/>
  <c r="T142" i="5" s="1"/>
  <c r="K142" i="5"/>
  <c r="J142" i="5"/>
  <c r="L142" i="5" s="1"/>
  <c r="I142" i="5"/>
  <c r="E142" i="5"/>
  <c r="D142" i="5"/>
  <c r="S142" i="5" s="1"/>
  <c r="T141" i="5"/>
  <c r="S141" i="5"/>
  <c r="O141" i="5"/>
  <c r="I141" i="5"/>
  <c r="E141" i="5"/>
  <c r="D141" i="5"/>
  <c r="S140" i="5"/>
  <c r="O140" i="5"/>
  <c r="T140" i="5" s="1"/>
  <c r="J140" i="5"/>
  <c r="I140" i="5"/>
  <c r="E140" i="5"/>
  <c r="D140" i="5"/>
  <c r="O139" i="5"/>
  <c r="T139" i="5" s="1"/>
  <c r="K139" i="5"/>
  <c r="J139" i="5"/>
  <c r="I139" i="5"/>
  <c r="L139" i="5" s="1"/>
  <c r="E139" i="5"/>
  <c r="D139" i="5"/>
  <c r="S139" i="5" s="1"/>
  <c r="T138" i="5"/>
  <c r="O138" i="5"/>
  <c r="I138" i="5"/>
  <c r="K138" i="5" s="1"/>
  <c r="E138" i="5"/>
  <c r="D138" i="5"/>
  <c r="S138" i="5" s="1"/>
  <c r="S137" i="5"/>
  <c r="O137" i="5"/>
  <c r="T137" i="5" s="1"/>
  <c r="K137" i="5"/>
  <c r="I137" i="5"/>
  <c r="J137" i="5" s="1"/>
  <c r="L137" i="5" s="1"/>
  <c r="E137" i="5"/>
  <c r="D137" i="5"/>
  <c r="T136" i="5"/>
  <c r="S136" i="5"/>
  <c r="O136" i="5"/>
  <c r="K136" i="5"/>
  <c r="J136" i="5"/>
  <c r="L136" i="5" s="1"/>
  <c r="I136" i="5"/>
  <c r="E136" i="5"/>
  <c r="D136" i="5"/>
  <c r="T135" i="5"/>
  <c r="O135" i="5"/>
  <c r="I135" i="5"/>
  <c r="E135" i="5"/>
  <c r="D135" i="5"/>
  <c r="S135" i="5" s="1"/>
  <c r="B128" i="5"/>
  <c r="B124" i="5"/>
  <c r="B122" i="5"/>
  <c r="B130" i="5" s="1"/>
  <c r="Q107" i="5"/>
  <c r="Q108" i="5"/>
  <c r="Q109" i="5"/>
  <c r="Q110" i="5"/>
  <c r="Q111" i="5"/>
  <c r="Q112" i="5"/>
  <c r="Q113" i="5"/>
  <c r="Q114" i="5"/>
  <c r="Q115" i="5"/>
  <c r="Q106" i="5"/>
  <c r="T107" i="5"/>
  <c r="T108" i="5"/>
  <c r="T109" i="5"/>
  <c r="T110" i="5"/>
  <c r="T111" i="5"/>
  <c r="T112" i="5"/>
  <c r="T113" i="5"/>
  <c r="T114" i="5"/>
  <c r="T115" i="5"/>
  <c r="T106" i="5"/>
  <c r="U107" i="5"/>
  <c r="U108" i="5"/>
  <c r="U109" i="5"/>
  <c r="U110" i="5"/>
  <c r="U111" i="5"/>
  <c r="U112" i="5"/>
  <c r="U113" i="5"/>
  <c r="U114" i="5"/>
  <c r="U115" i="5"/>
  <c r="U106" i="5"/>
  <c r="S107" i="5"/>
  <c r="S108" i="5"/>
  <c r="S109" i="5"/>
  <c r="S110" i="5"/>
  <c r="S111" i="5"/>
  <c r="S112" i="5"/>
  <c r="S113" i="5"/>
  <c r="S114" i="5"/>
  <c r="S115" i="5"/>
  <c r="S106" i="5"/>
  <c r="P107" i="5"/>
  <c r="P108" i="5"/>
  <c r="P109" i="5"/>
  <c r="P110" i="5"/>
  <c r="P111" i="5"/>
  <c r="P112" i="5"/>
  <c r="P113" i="5"/>
  <c r="P114" i="5"/>
  <c r="P115" i="5"/>
  <c r="P106" i="5"/>
  <c r="M108" i="5"/>
  <c r="M109" i="5"/>
  <c r="M110" i="5"/>
  <c r="M111" i="5"/>
  <c r="M112" i="5"/>
  <c r="M113" i="5"/>
  <c r="M114" i="5"/>
  <c r="M115" i="5"/>
  <c r="M106" i="5"/>
  <c r="M107" i="5"/>
  <c r="L106" i="5"/>
  <c r="L107" i="5"/>
  <c r="L108" i="5"/>
  <c r="L110" i="5"/>
  <c r="L111" i="5"/>
  <c r="L112" i="5"/>
  <c r="L113" i="5"/>
  <c r="L114" i="5"/>
  <c r="L115" i="5"/>
  <c r="L109" i="5"/>
  <c r="O115" i="5"/>
  <c r="I115" i="5"/>
  <c r="K115" i="5" s="1"/>
  <c r="E115" i="5"/>
  <c r="D115" i="5"/>
  <c r="O114" i="5"/>
  <c r="I114" i="5"/>
  <c r="E114" i="5"/>
  <c r="D114" i="5"/>
  <c r="O113" i="5"/>
  <c r="K113" i="5"/>
  <c r="J113" i="5"/>
  <c r="I113" i="5"/>
  <c r="E113" i="5"/>
  <c r="D113" i="5"/>
  <c r="O112" i="5"/>
  <c r="K112" i="5"/>
  <c r="J112" i="5"/>
  <c r="I112" i="5"/>
  <c r="E112" i="5"/>
  <c r="D112" i="5"/>
  <c r="O111" i="5"/>
  <c r="K111" i="5"/>
  <c r="J111" i="5"/>
  <c r="I111" i="5"/>
  <c r="E111" i="5"/>
  <c r="D111" i="5"/>
  <c r="O110" i="5"/>
  <c r="I110" i="5"/>
  <c r="E110" i="5"/>
  <c r="D110" i="5"/>
  <c r="O109" i="5"/>
  <c r="I109" i="5"/>
  <c r="E109" i="5"/>
  <c r="D109" i="5"/>
  <c r="O108" i="5"/>
  <c r="K108" i="5"/>
  <c r="I108" i="5"/>
  <c r="J108" i="5" s="1"/>
  <c r="E108" i="5"/>
  <c r="D108" i="5"/>
  <c r="O107" i="5"/>
  <c r="K107" i="5"/>
  <c r="I107" i="5"/>
  <c r="J107" i="5" s="1"/>
  <c r="E107" i="5"/>
  <c r="D107" i="5"/>
  <c r="O106" i="5"/>
  <c r="K106" i="5"/>
  <c r="I106" i="5"/>
  <c r="J106" i="5" s="1"/>
  <c r="E106" i="5"/>
  <c r="D106" i="5"/>
  <c r="B98" i="5"/>
  <c r="B94" i="5"/>
  <c r="B92" i="5"/>
  <c r="B100" i="5" s="1"/>
  <c r="O85" i="5"/>
  <c r="I85" i="5"/>
  <c r="J85" i="5" s="1"/>
  <c r="E85" i="5"/>
  <c r="D85" i="5"/>
  <c r="S85" i="5" s="1"/>
  <c r="O84" i="5"/>
  <c r="T84" i="5" s="1"/>
  <c r="K84" i="5"/>
  <c r="I84" i="5"/>
  <c r="J84" i="5" s="1"/>
  <c r="L84" i="5" s="1"/>
  <c r="E84" i="5"/>
  <c r="D84" i="5"/>
  <c r="S84" i="5" s="1"/>
  <c r="T83" i="5"/>
  <c r="O83" i="5"/>
  <c r="K83" i="5"/>
  <c r="I83" i="5"/>
  <c r="J83" i="5" s="1"/>
  <c r="L83" i="5" s="1"/>
  <c r="E83" i="5"/>
  <c r="D83" i="5"/>
  <c r="S83" i="5" s="1"/>
  <c r="S82" i="5"/>
  <c r="O82" i="5"/>
  <c r="T82" i="5" s="1"/>
  <c r="K82" i="5"/>
  <c r="I82" i="5"/>
  <c r="J82" i="5" s="1"/>
  <c r="L82" i="5" s="1"/>
  <c r="E82" i="5"/>
  <c r="D82" i="5"/>
  <c r="S81" i="5"/>
  <c r="O81" i="5"/>
  <c r="J81" i="5"/>
  <c r="I81" i="5"/>
  <c r="E81" i="5"/>
  <c r="D81" i="5"/>
  <c r="O80" i="5"/>
  <c r="T80" i="5" s="1"/>
  <c r="I80" i="5"/>
  <c r="K80" i="5" s="1"/>
  <c r="E80" i="5"/>
  <c r="D80" i="5"/>
  <c r="S80" i="5" s="1"/>
  <c r="O79" i="5"/>
  <c r="P79" i="5" s="1"/>
  <c r="U79" i="5" s="1"/>
  <c r="L79" i="5"/>
  <c r="M79" i="5" s="1"/>
  <c r="K79" i="5"/>
  <c r="J79" i="5"/>
  <c r="I79" i="5"/>
  <c r="E79" i="5"/>
  <c r="D79" i="5"/>
  <c r="S79" i="5" s="1"/>
  <c r="T78" i="5"/>
  <c r="O78" i="5"/>
  <c r="I78" i="5"/>
  <c r="E78" i="5"/>
  <c r="D78" i="5"/>
  <c r="S77" i="5"/>
  <c r="O77" i="5"/>
  <c r="T77" i="5" s="1"/>
  <c r="L77" i="5"/>
  <c r="M77" i="5" s="1"/>
  <c r="K77" i="5"/>
  <c r="J77" i="5"/>
  <c r="I77" i="5"/>
  <c r="E77" i="5"/>
  <c r="D77" i="5"/>
  <c r="T76" i="5"/>
  <c r="S76" i="5"/>
  <c r="O76" i="5"/>
  <c r="K76" i="5"/>
  <c r="J76" i="5"/>
  <c r="I76" i="5"/>
  <c r="L76" i="5" s="1"/>
  <c r="E76" i="5"/>
  <c r="D76" i="5"/>
  <c r="B70" i="5"/>
  <c r="B66" i="5"/>
  <c r="B64" i="5"/>
  <c r="B72" i="5" s="1"/>
  <c r="T85" i="5" s="1"/>
  <c r="S57" i="5"/>
  <c r="O57" i="5"/>
  <c r="J57" i="5"/>
  <c r="I57" i="5"/>
  <c r="E57" i="5"/>
  <c r="D57" i="5"/>
  <c r="O56" i="5"/>
  <c r="I56" i="5"/>
  <c r="E56" i="5"/>
  <c r="D56" i="5"/>
  <c r="S56" i="5" s="1"/>
  <c r="T55" i="5"/>
  <c r="S55" i="5"/>
  <c r="O55" i="5"/>
  <c r="K55" i="5"/>
  <c r="I55" i="5"/>
  <c r="E55" i="5"/>
  <c r="D55" i="5"/>
  <c r="O54" i="5"/>
  <c r="K54" i="5"/>
  <c r="I54" i="5"/>
  <c r="E54" i="5"/>
  <c r="D54" i="5"/>
  <c r="S54" i="5" s="1"/>
  <c r="O53" i="5"/>
  <c r="I53" i="5"/>
  <c r="K53" i="5" s="1"/>
  <c r="E53" i="5"/>
  <c r="D53" i="5"/>
  <c r="S53" i="5" s="1"/>
  <c r="S52" i="5"/>
  <c r="O52" i="5"/>
  <c r="I52" i="5"/>
  <c r="K52" i="5" s="1"/>
  <c r="E52" i="5"/>
  <c r="D52" i="5"/>
  <c r="O51" i="5"/>
  <c r="T51" i="5" s="1"/>
  <c r="I51" i="5"/>
  <c r="E51" i="5"/>
  <c r="D51" i="5"/>
  <c r="S51" i="5" s="1"/>
  <c r="T50" i="5"/>
  <c r="O50" i="5"/>
  <c r="I50" i="5"/>
  <c r="E50" i="5"/>
  <c r="D50" i="5"/>
  <c r="S50" i="5" s="1"/>
  <c r="S49" i="5"/>
  <c r="O49" i="5"/>
  <c r="T49" i="5" s="1"/>
  <c r="K49" i="5"/>
  <c r="I49" i="5"/>
  <c r="J49" i="5" s="1"/>
  <c r="E49" i="5"/>
  <c r="D49" i="5"/>
  <c r="S48" i="5"/>
  <c r="O48" i="5"/>
  <c r="J48" i="5"/>
  <c r="I48" i="5"/>
  <c r="E48" i="5"/>
  <c r="D48" i="5"/>
  <c r="B42" i="5"/>
  <c r="T54" i="5" s="1"/>
  <c r="B40" i="5"/>
  <c r="B36" i="5"/>
  <c r="B34" i="5"/>
  <c r="AV27" i="5"/>
  <c r="BA27" i="5" s="1"/>
  <c r="AP27" i="5"/>
  <c r="AL27" i="5"/>
  <c r="AK27" i="5"/>
  <c r="AZ27" i="5" s="1"/>
  <c r="O27" i="5"/>
  <c r="I27" i="5"/>
  <c r="E27" i="5"/>
  <c r="D27" i="5"/>
  <c r="S27" i="5" s="1"/>
  <c r="AZ26" i="5"/>
  <c r="AV26" i="5"/>
  <c r="BA26" i="5" s="1"/>
  <c r="AR26" i="5"/>
  <c r="AP26" i="5"/>
  <c r="AQ26" i="5" s="1"/>
  <c r="AS26" i="5" s="1"/>
  <c r="AL26" i="5"/>
  <c r="AK26" i="5"/>
  <c r="AX26" i="5" s="1"/>
  <c r="S26" i="5"/>
  <c r="O26" i="5"/>
  <c r="K26" i="5"/>
  <c r="J26" i="5"/>
  <c r="I26" i="5"/>
  <c r="E26" i="5"/>
  <c r="D26" i="5"/>
  <c r="AZ25" i="5"/>
  <c r="AV25" i="5"/>
  <c r="BA25" i="5" s="1"/>
  <c r="AP25" i="5"/>
  <c r="AL25" i="5"/>
  <c r="AK25" i="5"/>
  <c r="S25" i="5"/>
  <c r="O25" i="5"/>
  <c r="I25" i="5"/>
  <c r="J25" i="5" s="1"/>
  <c r="E25" i="5"/>
  <c r="D25" i="5"/>
  <c r="AV24" i="5"/>
  <c r="BA24" i="5" s="1"/>
  <c r="AP24" i="5"/>
  <c r="AL24" i="5"/>
  <c r="AK24" i="5"/>
  <c r="AZ24" i="5" s="1"/>
  <c r="O24" i="5"/>
  <c r="T24" i="5" s="1"/>
  <c r="J24" i="5"/>
  <c r="I24" i="5"/>
  <c r="K24" i="5" s="1"/>
  <c r="L24" i="5" s="1"/>
  <c r="E24" i="5"/>
  <c r="D24" i="5"/>
  <c r="S24" i="5" s="1"/>
  <c r="BA23" i="5"/>
  <c r="AZ23" i="5"/>
  <c r="BC23" i="5" s="1"/>
  <c r="X8" i="5" s="1"/>
  <c r="AV23" i="5"/>
  <c r="AR23" i="5"/>
  <c r="AP23" i="5"/>
  <c r="AQ23" i="5" s="1"/>
  <c r="AL23" i="5"/>
  <c r="AK23" i="5"/>
  <c r="AX23" i="5" s="1"/>
  <c r="S23" i="5"/>
  <c r="O23" i="5"/>
  <c r="K23" i="5"/>
  <c r="J23" i="5"/>
  <c r="L23" i="5" s="1"/>
  <c r="I23" i="5"/>
  <c r="E23" i="5"/>
  <c r="D23" i="5"/>
  <c r="BA22" i="5"/>
  <c r="AZ22" i="5"/>
  <c r="AX22" i="5"/>
  <c r="AV22" i="5"/>
  <c r="AP22" i="5"/>
  <c r="AR22" i="5" s="1"/>
  <c r="AL22" i="5"/>
  <c r="AK22" i="5"/>
  <c r="S22" i="5"/>
  <c r="O22" i="5"/>
  <c r="I22" i="5"/>
  <c r="K22" i="5" s="1"/>
  <c r="E22" i="5"/>
  <c r="D22" i="5"/>
  <c r="AV21" i="5"/>
  <c r="BA21" i="5" s="1"/>
  <c r="AP21" i="5"/>
  <c r="AL21" i="5"/>
  <c r="AK21" i="5"/>
  <c r="AZ21" i="5" s="1"/>
  <c r="O21" i="5"/>
  <c r="I21" i="5"/>
  <c r="E21" i="5"/>
  <c r="D21" i="5"/>
  <c r="S21" i="5" s="1"/>
  <c r="AZ20" i="5"/>
  <c r="AV20" i="5"/>
  <c r="BA20" i="5" s="1"/>
  <c r="AR20" i="5"/>
  <c r="AP20" i="5"/>
  <c r="AQ20" i="5" s="1"/>
  <c r="AS20" i="5" s="1"/>
  <c r="AL20" i="5"/>
  <c r="AK20" i="5"/>
  <c r="AX20" i="5" s="1"/>
  <c r="S20" i="5"/>
  <c r="O20" i="5"/>
  <c r="K20" i="5"/>
  <c r="J20" i="5"/>
  <c r="I20" i="5"/>
  <c r="E20" i="5"/>
  <c r="D20" i="5"/>
  <c r="AZ19" i="5"/>
  <c r="AV19" i="5"/>
  <c r="BA19" i="5" s="1"/>
  <c r="AP19" i="5"/>
  <c r="AL19" i="5"/>
  <c r="AK19" i="5"/>
  <c r="S19" i="5"/>
  <c r="O19" i="5"/>
  <c r="I19" i="5"/>
  <c r="J19" i="5" s="1"/>
  <c r="E19" i="5"/>
  <c r="D19" i="5"/>
  <c r="AV18" i="5"/>
  <c r="BA18" i="5" s="1"/>
  <c r="AP18" i="5"/>
  <c r="AQ18" i="5" s="1"/>
  <c r="AL18" i="5"/>
  <c r="AK18" i="5"/>
  <c r="AZ18" i="5" s="1"/>
  <c r="O18" i="5"/>
  <c r="T18" i="5" s="1"/>
  <c r="J18" i="5"/>
  <c r="I18" i="5"/>
  <c r="K18" i="5" s="1"/>
  <c r="L18" i="5" s="1"/>
  <c r="E18" i="5"/>
  <c r="D18" i="5"/>
  <c r="S18" i="5" s="1"/>
  <c r="AI13" i="5"/>
  <c r="AX25" i="5" s="1"/>
  <c r="AI11" i="5"/>
  <c r="B11" i="5"/>
  <c r="AI7" i="5"/>
  <c r="B7" i="5"/>
  <c r="L26" i="5" s="1"/>
  <c r="AI5" i="5"/>
  <c r="B5" i="5"/>
  <c r="B13" i="5" s="1"/>
  <c r="D36" i="4"/>
  <c r="D35" i="4"/>
  <c r="D34" i="4"/>
  <c r="D33" i="4"/>
  <c r="D32" i="4"/>
  <c r="D31" i="4"/>
  <c r="D30" i="4"/>
  <c r="D29" i="4"/>
  <c r="D28" i="4"/>
  <c r="D27" i="4"/>
  <c r="L19" i="4"/>
  <c r="K19" i="4"/>
  <c r="J19" i="4"/>
  <c r="I19" i="4"/>
  <c r="H19" i="4"/>
  <c r="G19" i="4"/>
  <c r="F19" i="4"/>
  <c r="E19" i="4"/>
  <c r="D19" i="4"/>
  <c r="C19" i="4"/>
  <c r="L18" i="4"/>
  <c r="K18" i="4"/>
  <c r="J18" i="4"/>
  <c r="I18" i="4"/>
  <c r="H18" i="4"/>
  <c r="G18" i="4"/>
  <c r="F18" i="4"/>
  <c r="E18" i="4"/>
  <c r="D18" i="4"/>
  <c r="C18" i="4"/>
  <c r="L16" i="4"/>
  <c r="K16" i="4"/>
  <c r="J16" i="4"/>
  <c r="I16" i="4"/>
  <c r="H16" i="4"/>
  <c r="H22" i="4" s="1"/>
  <c r="G16" i="4"/>
  <c r="F16" i="4"/>
  <c r="E16" i="4"/>
  <c r="D16" i="4"/>
  <c r="C16" i="4"/>
  <c r="B13" i="4"/>
  <c r="H21" i="4" s="1"/>
  <c r="K9" i="4"/>
  <c r="J9" i="4"/>
  <c r="I9" i="4"/>
  <c r="H9" i="4"/>
  <c r="G9" i="4"/>
  <c r="F9" i="4"/>
  <c r="E9" i="4"/>
  <c r="D9" i="4"/>
  <c r="C9" i="4"/>
  <c r="B9" i="4"/>
  <c r="K8" i="4"/>
  <c r="J8" i="4"/>
  <c r="I8" i="4"/>
  <c r="H8" i="4"/>
  <c r="G8" i="4"/>
  <c r="F8" i="4"/>
  <c r="E8" i="4"/>
  <c r="D8" i="4"/>
  <c r="C8" i="4"/>
  <c r="B8" i="4"/>
  <c r="K7" i="4"/>
  <c r="J7" i="4"/>
  <c r="I7" i="4"/>
  <c r="H7" i="4"/>
  <c r="G7" i="4"/>
  <c r="F7" i="4"/>
  <c r="E7" i="4"/>
  <c r="D7" i="4"/>
  <c r="C7" i="4"/>
  <c r="B7" i="4"/>
  <c r="K6" i="4"/>
  <c r="J6" i="4"/>
  <c r="I6" i="4"/>
  <c r="H6" i="4"/>
  <c r="G6" i="4"/>
  <c r="F6" i="4"/>
  <c r="E6" i="4"/>
  <c r="D6" i="4"/>
  <c r="C6" i="4"/>
  <c r="B6" i="4"/>
  <c r="K5" i="4"/>
  <c r="K10" i="4" s="1"/>
  <c r="K12" i="4" s="1"/>
  <c r="J5" i="4"/>
  <c r="J10" i="4" s="1"/>
  <c r="J12" i="4" s="1"/>
  <c r="I5" i="4"/>
  <c r="I10" i="4" s="1"/>
  <c r="I12" i="4" s="1"/>
  <c r="H5" i="4"/>
  <c r="H10" i="4" s="1"/>
  <c r="H12" i="4" s="1"/>
  <c r="G5" i="4"/>
  <c r="G10" i="4" s="1"/>
  <c r="G12" i="4" s="1"/>
  <c r="F5" i="4"/>
  <c r="F10" i="4" s="1"/>
  <c r="F12" i="4" s="1"/>
  <c r="E5" i="4"/>
  <c r="E10" i="4" s="1"/>
  <c r="E12" i="4" s="1"/>
  <c r="D5" i="4"/>
  <c r="D10" i="4" s="1"/>
  <c r="D12" i="4" s="1"/>
  <c r="C5" i="4"/>
  <c r="C10" i="4" s="1"/>
  <c r="C12" i="4" s="1"/>
  <c r="B5" i="4"/>
  <c r="B10" i="4" s="1"/>
  <c r="B12" i="4" s="1"/>
  <c r="P173" i="5" l="1"/>
  <c r="U173" i="5" s="1"/>
  <c r="M173" i="5"/>
  <c r="P197" i="5"/>
  <c r="U197" i="5" s="1"/>
  <c r="M197" i="5"/>
  <c r="Q173" i="5"/>
  <c r="P144" i="5"/>
  <c r="U144" i="5" s="1"/>
  <c r="M144" i="5"/>
  <c r="P136" i="5"/>
  <c r="M136" i="5"/>
  <c r="P142" i="5"/>
  <c r="M142" i="5"/>
  <c r="P172" i="5"/>
  <c r="M172" i="5"/>
  <c r="L200" i="5"/>
  <c r="P202" i="5"/>
  <c r="M202" i="5"/>
  <c r="P204" i="5"/>
  <c r="U204" i="5" s="1"/>
  <c r="M204" i="5"/>
  <c r="P166" i="5"/>
  <c r="M166" i="5"/>
  <c r="P168" i="5"/>
  <c r="U168" i="5" s="1"/>
  <c r="M168" i="5"/>
  <c r="M139" i="5"/>
  <c r="P139" i="5"/>
  <c r="U139" i="5" s="1"/>
  <c r="L198" i="5"/>
  <c r="P137" i="5"/>
  <c r="U137" i="5" s="1"/>
  <c r="M137" i="5"/>
  <c r="X204" i="5"/>
  <c r="J135" i="5"/>
  <c r="L135" i="5" s="1"/>
  <c r="P170" i="5"/>
  <c r="U170" i="5" s="1"/>
  <c r="V170" i="5" s="1"/>
  <c r="J171" i="5"/>
  <c r="L171" i="5" s="1"/>
  <c r="J195" i="5"/>
  <c r="K135" i="5"/>
  <c r="K171" i="5"/>
  <c r="K195" i="5"/>
  <c r="L195" i="5" s="1"/>
  <c r="J200" i="5"/>
  <c r="Q139" i="5"/>
  <c r="K140" i="5"/>
  <c r="L140" i="5" s="1"/>
  <c r="J169" i="5"/>
  <c r="L169" i="5" s="1"/>
  <c r="K200" i="5"/>
  <c r="J138" i="5"/>
  <c r="L138" i="5" s="1"/>
  <c r="K169" i="5"/>
  <c r="J174" i="5"/>
  <c r="L174" i="5" s="1"/>
  <c r="J198" i="5"/>
  <c r="Q204" i="5"/>
  <c r="J143" i="5"/>
  <c r="L143" i="5" s="1"/>
  <c r="J167" i="5"/>
  <c r="L167" i="5" s="1"/>
  <c r="K174" i="5"/>
  <c r="K198" i="5"/>
  <c r="J203" i="5"/>
  <c r="L203" i="5" s="1"/>
  <c r="J141" i="5"/>
  <c r="L141" i="5" s="1"/>
  <c r="J165" i="5"/>
  <c r="L165" i="5" s="1"/>
  <c r="K196" i="5"/>
  <c r="L196" i="5" s="1"/>
  <c r="J201" i="5"/>
  <c r="K141" i="5"/>
  <c r="K165" i="5"/>
  <c r="K201" i="5"/>
  <c r="L201" i="5" s="1"/>
  <c r="V204" i="5"/>
  <c r="AC128" i="5" s="1"/>
  <c r="V137" i="5"/>
  <c r="X137" i="5" s="1"/>
  <c r="V173" i="5"/>
  <c r="AB129" i="5" s="1"/>
  <c r="V197" i="5"/>
  <c r="AC122" i="5" s="1"/>
  <c r="J199" i="5"/>
  <c r="L199" i="5" s="1"/>
  <c r="T81" i="5"/>
  <c r="M84" i="5"/>
  <c r="P84" i="5"/>
  <c r="U84" i="5" s="1"/>
  <c r="V79" i="5"/>
  <c r="X79" i="5" s="1"/>
  <c r="V112" i="5"/>
  <c r="Y112" i="5" s="1"/>
  <c r="M76" i="5"/>
  <c r="P76" i="5"/>
  <c r="U76" i="5" s="1"/>
  <c r="V84" i="5"/>
  <c r="Y84" i="5" s="1"/>
  <c r="P82" i="5"/>
  <c r="M82" i="5"/>
  <c r="P83" i="5"/>
  <c r="U83" i="5" s="1"/>
  <c r="V83" i="5" s="1"/>
  <c r="M83" i="5"/>
  <c r="S78" i="5"/>
  <c r="J80" i="5"/>
  <c r="L80" i="5" s="1"/>
  <c r="Q79" i="5"/>
  <c r="J109" i="5"/>
  <c r="P77" i="5"/>
  <c r="U77" i="5" s="1"/>
  <c r="V77" i="5" s="1"/>
  <c r="Y77" i="5" s="1"/>
  <c r="J78" i="5"/>
  <c r="Q84" i="5"/>
  <c r="K85" i="5"/>
  <c r="L85" i="5" s="1"/>
  <c r="K109" i="5"/>
  <c r="J114" i="5"/>
  <c r="K78" i="5"/>
  <c r="L78" i="5" s="1"/>
  <c r="T79" i="5"/>
  <c r="K114" i="5"/>
  <c r="K81" i="5"/>
  <c r="L81" i="5" s="1"/>
  <c r="J110" i="5"/>
  <c r="K110" i="5"/>
  <c r="V113" i="5"/>
  <c r="Y113" i="5" s="1"/>
  <c r="J115" i="5"/>
  <c r="BF25" i="5"/>
  <c r="L57" i="5"/>
  <c r="L21" i="5"/>
  <c r="BE24" i="5"/>
  <c r="BC24" i="5"/>
  <c r="X9" i="5" s="1"/>
  <c r="BF24" i="5"/>
  <c r="BF21" i="5"/>
  <c r="BF22" i="5"/>
  <c r="BF26" i="5"/>
  <c r="AW20" i="5"/>
  <c r="BB20" i="5" s="1"/>
  <c r="AT20" i="5"/>
  <c r="L49" i="5"/>
  <c r="BE22" i="5"/>
  <c r="BF23" i="5"/>
  <c r="BC21" i="5"/>
  <c r="X6" i="5" s="1"/>
  <c r="P18" i="5"/>
  <c r="U18" i="5" s="1"/>
  <c r="M18" i="5"/>
  <c r="AS19" i="5"/>
  <c r="BE18" i="5"/>
  <c r="BC18" i="5"/>
  <c r="X3" i="5" s="1"/>
  <c r="BC27" i="5"/>
  <c r="X12" i="5" s="1"/>
  <c r="AT26" i="5"/>
  <c r="AW26" i="5"/>
  <c r="BB26" i="5" s="1"/>
  <c r="BG26" i="5" s="1"/>
  <c r="V18" i="5"/>
  <c r="X18" i="5"/>
  <c r="T23" i="5"/>
  <c r="T21" i="5"/>
  <c r="T26" i="5"/>
  <c r="T27" i="5"/>
  <c r="T20" i="5"/>
  <c r="BC19" i="5"/>
  <c r="BC25" i="5"/>
  <c r="T25" i="5"/>
  <c r="P26" i="5"/>
  <c r="U26" i="5" s="1"/>
  <c r="V26" i="5" s="1"/>
  <c r="M26" i="5"/>
  <c r="P23" i="5"/>
  <c r="U23" i="5" s="1"/>
  <c r="V23" i="5" s="1"/>
  <c r="M23" i="5"/>
  <c r="AS23" i="5"/>
  <c r="BF18" i="5"/>
  <c r="M24" i="5"/>
  <c r="P24" i="5"/>
  <c r="U24" i="5" s="1"/>
  <c r="AR19" i="5"/>
  <c r="T48" i="5"/>
  <c r="AX18" i="5"/>
  <c r="K19" i="5"/>
  <c r="L19" i="5" s="1"/>
  <c r="BC20" i="5"/>
  <c r="X5" i="5" s="1"/>
  <c r="AQ21" i="5"/>
  <c r="AS21" i="5" s="1"/>
  <c r="AX24" i="5"/>
  <c r="K25" i="5"/>
  <c r="BC26" i="5"/>
  <c r="X11" i="5" s="1"/>
  <c r="AQ27" i="5"/>
  <c r="AS27" i="5" s="1"/>
  <c r="J51" i="5"/>
  <c r="L51" i="5" s="1"/>
  <c r="L53" i="5"/>
  <c r="AR25" i="5"/>
  <c r="AS25" i="5" s="1"/>
  <c r="AX21" i="5"/>
  <c r="AR21" i="5"/>
  <c r="T22" i="5"/>
  <c r="L25" i="5"/>
  <c r="AR27" i="5"/>
  <c r="K51" i="5"/>
  <c r="T52" i="5"/>
  <c r="J56" i="5"/>
  <c r="L56" i="5" s="1"/>
  <c r="AQ25" i="5"/>
  <c r="J22" i="5"/>
  <c r="K56" i="5"/>
  <c r="T57" i="5"/>
  <c r="J54" i="5"/>
  <c r="L54" i="5" s="1"/>
  <c r="J52" i="5"/>
  <c r="L52" i="5" s="1"/>
  <c r="AQ19" i="5"/>
  <c r="AQ24" i="5"/>
  <c r="AS24" i="5" s="1"/>
  <c r="AX27" i="5"/>
  <c r="Q18" i="5"/>
  <c r="AR18" i="5"/>
  <c r="T19" i="5"/>
  <c r="J21" i="5"/>
  <c r="L22" i="5"/>
  <c r="BE23" i="5"/>
  <c r="AR24" i="5"/>
  <c r="J27" i="5"/>
  <c r="L27" i="5" s="1"/>
  <c r="J50" i="5"/>
  <c r="L50" i="5" s="1"/>
  <c r="K57" i="5"/>
  <c r="T53" i="5"/>
  <c r="AS18" i="5"/>
  <c r="K21" i="5"/>
  <c r="BC22" i="5"/>
  <c r="X7" i="5" s="1"/>
  <c r="K27" i="5"/>
  <c r="K50" i="5"/>
  <c r="J55" i="5"/>
  <c r="L55" i="5" s="1"/>
  <c r="T56" i="5"/>
  <c r="AX19" i="5"/>
  <c r="AQ22" i="5"/>
  <c r="AS22" i="5" s="1"/>
  <c r="K48" i="5"/>
  <c r="L48" i="5" s="1"/>
  <c r="J53" i="5"/>
  <c r="L20" i="5"/>
  <c r="L22" i="4"/>
  <c r="D22" i="4"/>
  <c r="C22" i="4"/>
  <c r="E22" i="4"/>
  <c r="F22" i="4"/>
  <c r="I21" i="4"/>
  <c r="I22" i="4" s="1"/>
  <c r="J21" i="4"/>
  <c r="J22" i="4" s="1"/>
  <c r="K21" i="4"/>
  <c r="K22" i="4" s="1"/>
  <c r="L21" i="4"/>
  <c r="C21" i="4"/>
  <c r="D21" i="4"/>
  <c r="E21" i="4"/>
  <c r="F21" i="4"/>
  <c r="G21" i="4"/>
  <c r="G22" i="4" s="1"/>
  <c r="P143" i="5" l="1"/>
  <c r="M143" i="5"/>
  <c r="P196" i="5"/>
  <c r="M196" i="5"/>
  <c r="M201" i="5"/>
  <c r="P201" i="5"/>
  <c r="P167" i="5"/>
  <c r="M167" i="5"/>
  <c r="M141" i="5"/>
  <c r="P141" i="5"/>
  <c r="P195" i="5"/>
  <c r="M195" i="5"/>
  <c r="P174" i="5"/>
  <c r="M174" i="5"/>
  <c r="AB125" i="5"/>
  <c r="X170" i="5"/>
  <c r="Y170" i="5"/>
  <c r="P203" i="5"/>
  <c r="M203" i="5"/>
  <c r="P171" i="5"/>
  <c r="M171" i="5"/>
  <c r="P135" i="5"/>
  <c r="M135" i="5"/>
  <c r="M165" i="5"/>
  <c r="P165" i="5"/>
  <c r="P169" i="5"/>
  <c r="M169" i="5"/>
  <c r="M199" i="5"/>
  <c r="P199" i="5"/>
  <c r="P140" i="5"/>
  <c r="M140" i="5"/>
  <c r="U202" i="5"/>
  <c r="Q202" i="5"/>
  <c r="Y197" i="5"/>
  <c r="P200" i="5"/>
  <c r="M200" i="5"/>
  <c r="P198" i="5"/>
  <c r="M198" i="5"/>
  <c r="U142" i="5"/>
  <c r="Q142" i="5"/>
  <c r="Z170" i="5"/>
  <c r="Z168" i="5"/>
  <c r="Z197" i="5"/>
  <c r="X197" i="5"/>
  <c r="Z173" i="5"/>
  <c r="Z144" i="5"/>
  <c r="Q168" i="5"/>
  <c r="U166" i="5"/>
  <c r="Q166" i="5"/>
  <c r="Q172" i="5"/>
  <c r="U172" i="5"/>
  <c r="V168" i="5"/>
  <c r="P138" i="5"/>
  <c r="M138" i="5"/>
  <c r="Z139" i="5"/>
  <c r="Q137" i="5"/>
  <c r="X173" i="5"/>
  <c r="Q197" i="5"/>
  <c r="Q170" i="5"/>
  <c r="Q144" i="5"/>
  <c r="V144" i="5"/>
  <c r="AA122" i="5"/>
  <c r="V139" i="5"/>
  <c r="Q136" i="5"/>
  <c r="U136" i="5"/>
  <c r="Z137" i="5"/>
  <c r="Y204" i="5"/>
  <c r="Y173" i="5"/>
  <c r="Z204" i="5"/>
  <c r="Y137" i="5"/>
  <c r="AD8" i="5"/>
  <c r="X113" i="5"/>
  <c r="X84" i="5"/>
  <c r="Q77" i="5"/>
  <c r="Z79" i="5"/>
  <c r="M81" i="5"/>
  <c r="P81" i="5"/>
  <c r="AC8" i="5"/>
  <c r="X83" i="5"/>
  <c r="Y83" i="5"/>
  <c r="P85" i="5"/>
  <c r="M85" i="5"/>
  <c r="M78" i="5"/>
  <c r="P78" i="5"/>
  <c r="P80" i="5"/>
  <c r="M80" i="5"/>
  <c r="U82" i="5"/>
  <c r="Q82" i="5"/>
  <c r="Q76" i="5"/>
  <c r="Z112" i="5"/>
  <c r="X77" i="5"/>
  <c r="V108" i="5"/>
  <c r="Z108" i="5" s="1"/>
  <c r="V107" i="5"/>
  <c r="X112" i="5"/>
  <c r="Z84" i="5"/>
  <c r="Q83" i="5"/>
  <c r="Z113" i="5"/>
  <c r="Z83" i="5"/>
  <c r="Z77" i="5"/>
  <c r="Y79" i="5"/>
  <c r="V76" i="5"/>
  <c r="Z76" i="5" s="1"/>
  <c r="AW24" i="5"/>
  <c r="BB24" i="5" s="1"/>
  <c r="BG24" i="5" s="1"/>
  <c r="AT24" i="5"/>
  <c r="M50" i="5"/>
  <c r="P50" i="5"/>
  <c r="P52" i="5"/>
  <c r="M52" i="5"/>
  <c r="AW25" i="5"/>
  <c r="BB25" i="5" s="1"/>
  <c r="BG25" i="5" s="1"/>
  <c r="AT25" i="5"/>
  <c r="AA11" i="5"/>
  <c r="X26" i="5"/>
  <c r="P48" i="5"/>
  <c r="M48" i="5"/>
  <c r="M27" i="5"/>
  <c r="P27" i="5"/>
  <c r="M51" i="5"/>
  <c r="P51" i="5"/>
  <c r="AA8" i="5"/>
  <c r="X23" i="5"/>
  <c r="P19" i="5"/>
  <c r="M19" i="5"/>
  <c r="AW22" i="5"/>
  <c r="BB22" i="5" s="1"/>
  <c r="BG22" i="5" s="1"/>
  <c r="AT22" i="5"/>
  <c r="P54" i="5"/>
  <c r="M54" i="5"/>
  <c r="M55" i="5"/>
  <c r="P55" i="5"/>
  <c r="AT27" i="5"/>
  <c r="AW27" i="5"/>
  <c r="BB27" i="5" s="1"/>
  <c r="BG27" i="5" s="1"/>
  <c r="P56" i="5"/>
  <c r="M56" i="5"/>
  <c r="AW21" i="5"/>
  <c r="BB21" i="5" s="1"/>
  <c r="BG21" i="5" s="1"/>
  <c r="AT21" i="5"/>
  <c r="P49" i="5"/>
  <c r="M49" i="5"/>
  <c r="M21" i="5"/>
  <c r="P21" i="5"/>
  <c r="AT19" i="5"/>
  <c r="AW19" i="5"/>
  <c r="BB19" i="5" s="1"/>
  <c r="BG19" i="5" s="1"/>
  <c r="AA3" i="5"/>
  <c r="Z26" i="5"/>
  <c r="P25" i="5"/>
  <c r="M25" i="5"/>
  <c r="AD12" i="5"/>
  <c r="AC12" i="5"/>
  <c r="AT23" i="5"/>
  <c r="AW23" i="5"/>
  <c r="BB23" i="5" s="1"/>
  <c r="BG23" i="5" s="1"/>
  <c r="P22" i="5"/>
  <c r="M22" i="5"/>
  <c r="AC11" i="5"/>
  <c r="AD11" i="5"/>
  <c r="Q23" i="5"/>
  <c r="BE27" i="5"/>
  <c r="BE21" i="5"/>
  <c r="Z24" i="5"/>
  <c r="P20" i="5"/>
  <c r="M20" i="5"/>
  <c r="Q26" i="5"/>
  <c r="BE26" i="5"/>
  <c r="BE19" i="5"/>
  <c r="X4" i="5"/>
  <c r="P57" i="5"/>
  <c r="M57" i="5"/>
  <c r="Z18" i="5"/>
  <c r="BE25" i="5"/>
  <c r="X10" i="5"/>
  <c r="Y23" i="5"/>
  <c r="V24" i="5"/>
  <c r="BE20" i="5"/>
  <c r="Y26" i="5"/>
  <c r="Q24" i="5"/>
  <c r="BF19" i="5"/>
  <c r="AD7" i="5"/>
  <c r="Y18" i="5"/>
  <c r="BF20" i="5"/>
  <c r="BG20" i="5"/>
  <c r="Z23" i="5"/>
  <c r="P53" i="5"/>
  <c r="M53" i="5"/>
  <c r="AW18" i="5"/>
  <c r="BB18" i="5" s="1"/>
  <c r="BG18" i="5" s="1"/>
  <c r="AT18" i="5"/>
  <c r="AC9" i="5"/>
  <c r="BF27" i="5"/>
  <c r="U195" i="5" l="1"/>
  <c r="Q195" i="5"/>
  <c r="V166" i="5"/>
  <c r="U141" i="5"/>
  <c r="Q141" i="5"/>
  <c r="U171" i="5"/>
  <c r="Q171" i="5"/>
  <c r="U200" i="5"/>
  <c r="Q200" i="5"/>
  <c r="U167" i="5"/>
  <c r="Q167" i="5"/>
  <c r="U201" i="5"/>
  <c r="Q201" i="5"/>
  <c r="U135" i="5"/>
  <c r="Q135" i="5"/>
  <c r="U138" i="5"/>
  <c r="Q138" i="5"/>
  <c r="U199" i="5"/>
  <c r="Q199" i="5"/>
  <c r="V136" i="5"/>
  <c r="U203" i="5"/>
  <c r="Q203" i="5"/>
  <c r="AA124" i="5"/>
  <c r="X139" i="5"/>
  <c r="Y139" i="5"/>
  <c r="AB123" i="5"/>
  <c r="X168" i="5"/>
  <c r="Y168" i="5"/>
  <c r="V172" i="5"/>
  <c r="V142" i="5"/>
  <c r="Q196" i="5"/>
  <c r="U196" i="5"/>
  <c r="U169" i="5"/>
  <c r="Q169" i="5"/>
  <c r="V202" i="5"/>
  <c r="U140" i="5"/>
  <c r="Q140" i="5"/>
  <c r="AA128" i="5"/>
  <c r="X144" i="5"/>
  <c r="Y144" i="5"/>
  <c r="U198" i="5"/>
  <c r="Q198" i="5"/>
  <c r="U165" i="5"/>
  <c r="Q165" i="5"/>
  <c r="U174" i="5"/>
  <c r="Q174" i="5"/>
  <c r="U143" i="5"/>
  <c r="Q143" i="5"/>
  <c r="AD3" i="5"/>
  <c r="U80" i="5"/>
  <c r="Q80" i="5"/>
  <c r="V106" i="5"/>
  <c r="V82" i="5"/>
  <c r="U85" i="5"/>
  <c r="Q85" i="5"/>
  <c r="U78" i="5"/>
  <c r="Q78" i="5"/>
  <c r="Y108" i="5"/>
  <c r="X108" i="5"/>
  <c r="V111" i="5"/>
  <c r="Q81" i="5"/>
  <c r="U81" i="5"/>
  <c r="X76" i="5"/>
  <c r="Y76" i="5"/>
  <c r="X107" i="5"/>
  <c r="Y107" i="5"/>
  <c r="Z107" i="5"/>
  <c r="U49" i="5"/>
  <c r="Q49" i="5"/>
  <c r="U19" i="5"/>
  <c r="Q19" i="5"/>
  <c r="U20" i="5"/>
  <c r="Q20" i="5"/>
  <c r="U56" i="5"/>
  <c r="Q56" i="5"/>
  <c r="U22" i="5"/>
  <c r="Q22" i="5"/>
  <c r="U57" i="5"/>
  <c r="Q57" i="5"/>
  <c r="U51" i="5"/>
  <c r="Q51" i="5"/>
  <c r="U52" i="5"/>
  <c r="Q52" i="5"/>
  <c r="U48" i="5"/>
  <c r="Q48" i="5"/>
  <c r="AA9" i="5"/>
  <c r="Y24" i="5"/>
  <c r="X24" i="5"/>
  <c r="AC4" i="5"/>
  <c r="U55" i="5"/>
  <c r="Q55" i="5"/>
  <c r="U50" i="5"/>
  <c r="Q50" i="5"/>
  <c r="U53" i="5"/>
  <c r="Q53" i="5"/>
  <c r="U27" i="5"/>
  <c r="Q27" i="5"/>
  <c r="U21" i="5"/>
  <c r="Q21" i="5"/>
  <c r="U25" i="5"/>
  <c r="Q25" i="5"/>
  <c r="U54" i="5"/>
  <c r="Q54" i="5"/>
  <c r="AA127" i="5" l="1"/>
  <c r="Y127" i="5"/>
  <c r="Z127" i="5" s="1"/>
  <c r="Y142" i="5"/>
  <c r="X142" i="5"/>
  <c r="V203" i="5"/>
  <c r="Z203" i="5" s="1"/>
  <c r="V167" i="5"/>
  <c r="Z142" i="5"/>
  <c r="Y136" i="5"/>
  <c r="AA121" i="5"/>
  <c r="Y121" i="5"/>
  <c r="Z121" i="5" s="1"/>
  <c r="X136" i="5"/>
  <c r="AB127" i="5"/>
  <c r="X172" i="5"/>
  <c r="Y172" i="5"/>
  <c r="Z136" i="5"/>
  <c r="Z200" i="5"/>
  <c r="V200" i="5"/>
  <c r="Z172" i="5"/>
  <c r="V199" i="5"/>
  <c r="Z199" i="5" s="1"/>
  <c r="V171" i="5"/>
  <c r="Z171" i="5" s="1"/>
  <c r="V143" i="5"/>
  <c r="V140" i="5"/>
  <c r="AC127" i="5"/>
  <c r="X202" i="5"/>
  <c r="Y202" i="5"/>
  <c r="V138" i="5"/>
  <c r="Z138" i="5" s="1"/>
  <c r="V141" i="5"/>
  <c r="Z198" i="5"/>
  <c r="V198" i="5"/>
  <c r="V174" i="5"/>
  <c r="Z202" i="5"/>
  <c r="AB121" i="5"/>
  <c r="Y166" i="5"/>
  <c r="X166" i="5"/>
  <c r="V135" i="5"/>
  <c r="Z166" i="5"/>
  <c r="V165" i="5"/>
  <c r="Z165" i="5" s="1"/>
  <c r="V169" i="5"/>
  <c r="V196" i="5"/>
  <c r="V201" i="5"/>
  <c r="V195" i="5"/>
  <c r="Z195" i="5" s="1"/>
  <c r="V81" i="5"/>
  <c r="V78" i="5"/>
  <c r="Z78" i="5" s="1"/>
  <c r="X82" i="5"/>
  <c r="Y82" i="5"/>
  <c r="AC7" i="5"/>
  <c r="V109" i="5"/>
  <c r="Z109" i="5" s="1"/>
  <c r="Z82" i="5"/>
  <c r="V110" i="5"/>
  <c r="Z110" i="5" s="1"/>
  <c r="X106" i="5"/>
  <c r="Y106" i="5"/>
  <c r="V85" i="5"/>
  <c r="Z85" i="5" s="1"/>
  <c r="Z106" i="5"/>
  <c r="Y111" i="5"/>
  <c r="X111" i="5"/>
  <c r="AD6" i="5"/>
  <c r="Z111" i="5"/>
  <c r="V115" i="5"/>
  <c r="Z115" i="5" s="1"/>
  <c r="V114" i="5"/>
  <c r="Z114" i="5" s="1"/>
  <c r="V80" i="5"/>
  <c r="V21" i="5"/>
  <c r="V57" i="5"/>
  <c r="V22" i="5"/>
  <c r="V27" i="5"/>
  <c r="V56" i="5"/>
  <c r="Z56" i="5" s="1"/>
  <c r="V53" i="5"/>
  <c r="V48" i="5"/>
  <c r="V20" i="5"/>
  <c r="V54" i="5"/>
  <c r="V50" i="5"/>
  <c r="V52" i="5"/>
  <c r="V19" i="5"/>
  <c r="V25" i="5"/>
  <c r="V55" i="5"/>
  <c r="Z55" i="5" s="1"/>
  <c r="V51" i="5"/>
  <c r="V49" i="5"/>
  <c r="Z49" i="5" s="1"/>
  <c r="AA126" i="5" l="1"/>
  <c r="Y126" i="5"/>
  <c r="Z126" i="5" s="1"/>
  <c r="X141" i="5"/>
  <c r="Y141" i="5"/>
  <c r="AB122" i="5"/>
  <c r="X167" i="5"/>
  <c r="Y167" i="5"/>
  <c r="Y122" i="5"/>
  <c r="Z122" i="5" s="1"/>
  <c r="AA120" i="5"/>
  <c r="Y120" i="5"/>
  <c r="Z120" i="5" s="1"/>
  <c r="Y135" i="5"/>
  <c r="X135" i="5"/>
  <c r="AC125" i="5"/>
  <c r="X200" i="5"/>
  <c r="Y200" i="5"/>
  <c r="Z167" i="5"/>
  <c r="AC126" i="5"/>
  <c r="X201" i="5"/>
  <c r="Y201" i="5"/>
  <c r="Z141" i="5"/>
  <c r="Z135" i="5"/>
  <c r="Z201" i="5"/>
  <c r="Y171" i="5"/>
  <c r="AB126" i="5"/>
  <c r="X171" i="5"/>
  <c r="AC124" i="5"/>
  <c r="Y199" i="5"/>
  <c r="X199" i="5"/>
  <c r="AC121" i="5"/>
  <c r="Y196" i="5"/>
  <c r="X196" i="5"/>
  <c r="AA125" i="5"/>
  <c r="Y125" i="5"/>
  <c r="Z125" i="5" s="1"/>
  <c r="X140" i="5"/>
  <c r="Y140" i="5"/>
  <c r="AB120" i="5"/>
  <c r="X165" i="5"/>
  <c r="Y165" i="5"/>
  <c r="AB128" i="5"/>
  <c r="Y174" i="5"/>
  <c r="X174" i="5"/>
  <c r="Y128" i="5"/>
  <c r="Z128" i="5" s="1"/>
  <c r="Z140" i="5"/>
  <c r="AC120" i="5"/>
  <c r="Y195" i="5"/>
  <c r="X195" i="5"/>
  <c r="Z174" i="5"/>
  <c r="AA123" i="5"/>
  <c r="Y123" i="5"/>
  <c r="Z123" i="5" s="1"/>
  <c r="Y138" i="5"/>
  <c r="X138" i="5"/>
  <c r="AC129" i="5"/>
  <c r="Y203" i="5"/>
  <c r="X203" i="5"/>
  <c r="Z196" i="5"/>
  <c r="AB124" i="5"/>
  <c r="Y169" i="5"/>
  <c r="X169" i="5"/>
  <c r="Y124" i="5"/>
  <c r="Z124" i="5" s="1"/>
  <c r="AA129" i="5"/>
  <c r="Y129" i="5"/>
  <c r="Z129" i="5" s="1"/>
  <c r="Y143" i="5"/>
  <c r="X143" i="5"/>
  <c r="Z169" i="5"/>
  <c r="AC123" i="5"/>
  <c r="X198" i="5"/>
  <c r="Y198" i="5"/>
  <c r="Z143" i="5"/>
  <c r="X115" i="5"/>
  <c r="Y115" i="5"/>
  <c r="AD10" i="5"/>
  <c r="Y109" i="5"/>
  <c r="X109" i="5"/>
  <c r="AD4" i="5"/>
  <c r="Y85" i="5"/>
  <c r="X85" i="5"/>
  <c r="AC10" i="5"/>
  <c r="X80" i="5"/>
  <c r="Y80" i="5"/>
  <c r="AC5" i="5"/>
  <c r="Z80" i="5"/>
  <c r="X81" i="5"/>
  <c r="Y81" i="5"/>
  <c r="AC6" i="5"/>
  <c r="X110" i="5"/>
  <c r="Y110" i="5"/>
  <c r="AD5" i="5"/>
  <c r="Y78" i="5"/>
  <c r="X78" i="5"/>
  <c r="AC3" i="5"/>
  <c r="Y114" i="5"/>
  <c r="AD9" i="5"/>
  <c r="X114" i="5"/>
  <c r="Z81" i="5"/>
  <c r="AB8" i="5"/>
  <c r="X53" i="5"/>
  <c r="Y8" i="5"/>
  <c r="Z8" i="5" s="1"/>
  <c r="Y53" i="5"/>
  <c r="AA4" i="5"/>
  <c r="Y4" i="5"/>
  <c r="Z4" i="5" s="1"/>
  <c r="X19" i="5"/>
  <c r="Y19" i="5"/>
  <c r="Y12" i="5"/>
  <c r="Z12" i="5" s="1"/>
  <c r="AA12" i="5"/>
  <c r="X27" i="5"/>
  <c r="Y27" i="5"/>
  <c r="AB6" i="5"/>
  <c r="Y51" i="5"/>
  <c r="X51" i="5"/>
  <c r="AB11" i="5"/>
  <c r="X56" i="5"/>
  <c r="Y56" i="5"/>
  <c r="Y11" i="5"/>
  <c r="Z11" i="5" s="1"/>
  <c r="Z27" i="5"/>
  <c r="Z51" i="5"/>
  <c r="AB7" i="5"/>
  <c r="X52" i="5"/>
  <c r="Y52" i="5"/>
  <c r="AB5" i="5"/>
  <c r="X50" i="5"/>
  <c r="Y50" i="5"/>
  <c r="X22" i="5"/>
  <c r="AA7" i="5"/>
  <c r="Y7" i="5"/>
  <c r="Z7" i="5" s="1"/>
  <c r="Y22" i="5"/>
  <c r="AB12" i="5"/>
  <c r="X57" i="5"/>
  <c r="Y57" i="5"/>
  <c r="Z19" i="5"/>
  <c r="Z52" i="5"/>
  <c r="AB9" i="5"/>
  <c r="Y54" i="5"/>
  <c r="X54" i="5"/>
  <c r="Y9" i="5"/>
  <c r="Z9" i="5" s="1"/>
  <c r="Z57" i="5"/>
  <c r="Z22" i="5"/>
  <c r="AB10" i="5"/>
  <c r="Y55" i="5"/>
  <c r="X55" i="5"/>
  <c r="AB3" i="5"/>
  <c r="X48" i="5"/>
  <c r="Y3" i="5"/>
  <c r="Z3" i="5" s="1"/>
  <c r="Y48" i="5"/>
  <c r="AA6" i="5"/>
  <c r="Y6" i="5"/>
  <c r="Z6" i="5" s="1"/>
  <c r="X21" i="5"/>
  <c r="Y21" i="5"/>
  <c r="Z53" i="5"/>
  <c r="AB4" i="5"/>
  <c r="X49" i="5"/>
  <c r="Y49" i="5"/>
  <c r="Z50" i="5"/>
  <c r="Z54" i="5"/>
  <c r="Y5" i="5"/>
  <c r="Z5" i="5" s="1"/>
  <c r="AA5" i="5"/>
  <c r="X20" i="5"/>
  <c r="Y20" i="5"/>
  <c r="Z20" i="5"/>
  <c r="Y10" i="5"/>
  <c r="Z10" i="5" s="1"/>
  <c r="AA10" i="5"/>
  <c r="X25" i="5"/>
  <c r="Y25" i="5"/>
  <c r="Z25" i="5"/>
  <c r="Z48" i="5"/>
  <c r="Z21" i="5"/>
  <c r="H5" i="3" l="1"/>
  <c r="H3" i="3"/>
  <c r="C3" i="3"/>
  <c r="C4" i="3" s="1"/>
  <c r="C6" i="3" s="1"/>
  <c r="C7" i="3" s="1"/>
  <c r="C18" i="3"/>
  <c r="C17" i="3"/>
  <c r="H14" i="3"/>
  <c r="H7" i="3"/>
  <c r="H9" i="3" s="1"/>
  <c r="H10" i="3" s="1"/>
  <c r="E26" i="1"/>
  <c r="E25" i="1"/>
  <c r="H15" i="1"/>
  <c r="C19" i="1"/>
  <c r="C18" i="1"/>
  <c r="H6" i="1"/>
  <c r="H5" i="1"/>
  <c r="H3" i="1"/>
  <c r="C3" i="1"/>
  <c r="C4" i="1" s="1"/>
  <c r="C6" i="1" s="1"/>
  <c r="H8" i="1"/>
  <c r="H10" i="1" s="1"/>
  <c r="H11" i="1" s="1"/>
  <c r="C5" i="3" l="1"/>
  <c r="C7" i="1"/>
  <c r="C5" i="1"/>
  <c r="H12" i="3" l="1"/>
  <c r="H13" i="3" s="1"/>
  <c r="H15" i="3" s="1"/>
  <c r="H13" i="1"/>
  <c r="H14" i="1" s="1"/>
  <c r="H16" i="1" s="1"/>
  <c r="C21" i="3" l="1"/>
  <c r="C20" i="3"/>
  <c r="C24" i="3" s="1"/>
  <c r="E24" i="3" s="1"/>
  <c r="C21" i="1"/>
  <c r="C22" i="1"/>
  <c r="C25" i="1"/>
  <c r="C23" i="1"/>
  <c r="C26" i="1" s="1"/>
  <c r="C22" i="3" l="1"/>
  <c r="C25" i="3" s="1"/>
  <c r="E25" i="3" s="1"/>
</calcChain>
</file>

<file path=xl/sharedStrings.xml><?xml version="1.0" encoding="utf-8"?>
<sst xmlns="http://schemas.openxmlformats.org/spreadsheetml/2006/main" count="2670" uniqueCount="311">
  <si>
    <t xml:space="preserve">weight </t>
  </si>
  <si>
    <t>empty column</t>
  </si>
  <si>
    <t>g</t>
  </si>
  <si>
    <t xml:space="preserve">baker sand </t>
  </si>
  <si>
    <t>cm3</t>
  </si>
  <si>
    <t>coarse sand after packing + metallic filter</t>
  </si>
  <si>
    <t xml:space="preserve">porosity </t>
  </si>
  <si>
    <t>baker PFAS</t>
  </si>
  <si>
    <t xml:space="preserve">packed contaminated sand </t>
  </si>
  <si>
    <t xml:space="preserve">PFAS </t>
  </si>
  <si>
    <t xml:space="preserve">PFAS + SAND </t>
  </si>
  <si>
    <t>height</t>
  </si>
  <si>
    <t>cm</t>
  </si>
  <si>
    <t>contaminated sand</t>
  </si>
  <si>
    <t>saturated sand</t>
  </si>
  <si>
    <t>column diameter (i.d.)</t>
  </si>
  <si>
    <t>column height</t>
  </si>
  <si>
    <t xml:space="preserve">unsaturated sand </t>
  </si>
  <si>
    <t xml:space="preserve">cm3 </t>
  </si>
  <si>
    <t>Sw - water saturation</t>
  </si>
  <si>
    <t>Sa - air saturation</t>
  </si>
  <si>
    <t>coarser sand layer (n.6)</t>
  </si>
  <si>
    <t>sand for 'contaminated sand' layer</t>
  </si>
  <si>
    <t>porosity assumed</t>
  </si>
  <si>
    <t>pore volume of 'contaminated sand' layer</t>
  </si>
  <si>
    <t>volume of  'contaminated sand' layer</t>
  </si>
  <si>
    <t>creation of 'contaminated sand' layer</t>
  </si>
  <si>
    <t>PFAS solution volume needed</t>
  </si>
  <si>
    <t>packed dry clean sand - 'unsaturated layer'</t>
  </si>
  <si>
    <t>packed dry clean sand - 'saturated layer'</t>
  </si>
  <si>
    <t>water weight in the column</t>
  </si>
  <si>
    <t>porosity of saturated sand -  saturation =1</t>
  </si>
  <si>
    <t>packed clean sand - after saturation from the top</t>
  </si>
  <si>
    <t>total volume of saturated sand</t>
  </si>
  <si>
    <t>pore volume of saturated sand</t>
  </si>
  <si>
    <t xml:space="preserve">volume of clean sand + contaminated sand </t>
  </si>
  <si>
    <t>before air-sparging</t>
  </si>
  <si>
    <t xml:space="preserve">after air-sparging </t>
  </si>
  <si>
    <t>air volume present in the column</t>
  </si>
  <si>
    <t>pore volume = water volume + air volume</t>
  </si>
  <si>
    <t xml:space="preserve">pore volume = water volume present in the column </t>
  </si>
  <si>
    <t>water table at 35 cm of the column height (water level rose, partially saturated)</t>
  </si>
  <si>
    <t>water table at 30 cm of the column height (saturated with water)</t>
  </si>
  <si>
    <t>tetaw - water content</t>
  </si>
  <si>
    <t>tetaa - air content</t>
  </si>
  <si>
    <t>theoretical calculation of PFAS solution volume needed to saturate the 'contaminated sand' layer</t>
  </si>
  <si>
    <t xml:space="preserve">EXPERIMENT with FINE SAND (23.04 - 30.04) Calculation of Porosity and Saturation  </t>
  </si>
  <si>
    <t xml:space="preserve">EXPERIMENT with COARSE SAND  (09.04 - 14.04) Calculation of Porosity and Saturation </t>
  </si>
  <si>
    <t>QSPR analysis of air-water interfacial adsorption coefficients log Kia=0.019 (+-0.0002)Vm-7.1(+-0.45)</t>
  </si>
  <si>
    <t>PFBS</t>
  </si>
  <si>
    <t>PFOA</t>
  </si>
  <si>
    <t>PFOS</t>
  </si>
  <si>
    <t>PFHxA</t>
  </si>
  <si>
    <t>PFHpA</t>
  </si>
  <si>
    <t>PFPeA</t>
  </si>
  <si>
    <t>PFHxS</t>
  </si>
  <si>
    <t>6:2 FTS</t>
  </si>
  <si>
    <t>6:2 FTAB</t>
  </si>
  <si>
    <t>PFOSA</t>
  </si>
  <si>
    <t>molar volume (cm3/mol)</t>
  </si>
  <si>
    <t xml:space="preserve">https://comptox.epa.gov/dashboard/ </t>
  </si>
  <si>
    <t>log Kia</t>
  </si>
  <si>
    <t>-0.002 and -0.45</t>
  </si>
  <si>
    <t>0 and 0</t>
  </si>
  <si>
    <t>+0.002 and +0.45</t>
  </si>
  <si>
    <t>-0.002 and +0.45</t>
  </si>
  <si>
    <t>+0.002 and -0.45</t>
  </si>
  <si>
    <t xml:space="preserve">mean </t>
  </si>
  <si>
    <t>Kia</t>
  </si>
  <si>
    <t>rho_b:</t>
  </si>
  <si>
    <t>kg/L</t>
  </si>
  <si>
    <t>Cw in ug/l</t>
  </si>
  <si>
    <t>6.2 FTS</t>
  </si>
  <si>
    <t>c0 stock solution (kg/l)</t>
  </si>
  <si>
    <t>V0 (l)</t>
  </si>
  <si>
    <t>volume of PFAS solution added</t>
  </si>
  <si>
    <t>Cw (ug/l)</t>
  </si>
  <si>
    <t>at port 1 just added to the column</t>
  </si>
  <si>
    <t>Vw (l)</t>
  </si>
  <si>
    <t>pore volume inside port 1 with same volume (6 cm height) and 37% porosity</t>
  </si>
  <si>
    <t>Vs (l)</t>
  </si>
  <si>
    <t xml:space="preserve">sand volume 6 cm height at port 1 </t>
  </si>
  <si>
    <t>Ms (kg)</t>
  </si>
  <si>
    <t>bulk density * Vs</t>
  </si>
  <si>
    <t>Kd (l/kg)</t>
  </si>
  <si>
    <t>negative Kd for PFOSA due to anomalous behavior. As Kd value, it is used the PFOS one</t>
  </si>
  <si>
    <t>Kd mine</t>
  </si>
  <si>
    <t>Kd Lyu</t>
  </si>
  <si>
    <t>l/kg</t>
  </si>
  <si>
    <t>short</t>
  </si>
  <si>
    <t>long</t>
  </si>
  <si>
    <t xml:space="preserve">Phase distribution for selected PFAS: after 48h of sparging </t>
  </si>
  <si>
    <t>Phase distribution for selected PFAS</t>
  </si>
  <si>
    <t>PORT 1</t>
  </si>
  <si>
    <t xml:space="preserve">SUM MASS </t>
  </si>
  <si>
    <t>Before sparging (ug)</t>
  </si>
  <si>
    <t>After sparging  (ug)</t>
  </si>
  <si>
    <t>%</t>
  </si>
  <si>
    <t>%PORT 1</t>
  </si>
  <si>
    <t>%PORT 2</t>
  </si>
  <si>
    <t>%PORT 3</t>
  </si>
  <si>
    <t>%PORT 4</t>
  </si>
  <si>
    <t xml:space="preserve">CONC 0 </t>
  </si>
  <si>
    <t>Soil parameters:</t>
  </si>
  <si>
    <t>Sand</t>
  </si>
  <si>
    <t>porosity:</t>
  </si>
  <si>
    <t>rho(b) [kg/l]</t>
  </si>
  <si>
    <t>Sw (assumed values):</t>
  </si>
  <si>
    <t>theta_w:</t>
  </si>
  <si>
    <t>d_50 [cm]</t>
  </si>
  <si>
    <r>
      <t>A_ia (d_50, Sw) [cm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]:</t>
    </r>
  </si>
  <si>
    <t>M_soil [kg]:</t>
  </si>
  <si>
    <t>V_port1 [L]</t>
  </si>
  <si>
    <t>V_contaminated sand  [L]</t>
  </si>
  <si>
    <t>Phase concentrations</t>
  </si>
  <si>
    <t>Mass</t>
  </si>
  <si>
    <t>Percentages/ M/M0</t>
  </si>
  <si>
    <t>Sw</t>
  </si>
  <si>
    <t>theta_w</t>
  </si>
  <si>
    <t>Aia</t>
  </si>
  <si>
    <t xml:space="preserve">Kd </t>
  </si>
  <si>
    <t xml:space="preserve">Kia </t>
  </si>
  <si>
    <t>Cp ng/l</t>
  </si>
  <si>
    <t>Cs ng/kg</t>
  </si>
  <si>
    <t>Cia ng/cm2</t>
  </si>
  <si>
    <t>Mtot ug</t>
  </si>
  <si>
    <t xml:space="preserve">C_total </t>
  </si>
  <si>
    <t>Cp</t>
  </si>
  <si>
    <t>Cs</t>
  </si>
  <si>
    <t>Cia</t>
  </si>
  <si>
    <t>Sum kontrol</t>
  </si>
  <si>
    <t>Mp</t>
  </si>
  <si>
    <t>Ms</t>
  </si>
  <si>
    <t>Mia</t>
  </si>
  <si>
    <t>sum</t>
  </si>
  <si>
    <t>Enhed:</t>
  </si>
  <si>
    <t>-</t>
  </si>
  <si>
    <t>1/cm</t>
  </si>
  <si>
    <t>µg/kg = ug/l</t>
  </si>
  <si>
    <t>µg/l</t>
  </si>
  <si>
    <t>µg/kg</t>
  </si>
  <si>
    <t>ug/dm^2</t>
  </si>
  <si>
    <t>ug</t>
  </si>
  <si>
    <t>µg</t>
  </si>
  <si>
    <t>PORT 2</t>
  </si>
  <si>
    <t>V_port2 [L]</t>
  </si>
  <si>
    <t>PORT 3</t>
  </si>
  <si>
    <t>MASS BALANCE</t>
  </si>
  <si>
    <t>PORT 4</t>
  </si>
  <si>
    <t>V_port3 [L]</t>
  </si>
  <si>
    <t xml:space="preserve">Phase distribution for selected PFAS: after 120h of sparging </t>
  </si>
  <si>
    <t>C_total</t>
  </si>
  <si>
    <t>After sparging for 120h  (ug)</t>
  </si>
  <si>
    <t>After sparging for 120 h  (ug)</t>
  </si>
  <si>
    <t>tot</t>
  </si>
  <si>
    <t>After sparging for 48h (ug)</t>
  </si>
  <si>
    <t>Kd (lab)</t>
  </si>
  <si>
    <t>Kd udvalgte lab</t>
  </si>
  <si>
    <t>LCMSMS analysis of water samples</t>
  </si>
  <si>
    <t>2025-06-03</t>
  </si>
  <si>
    <t>Mikael Olsson</t>
  </si>
  <si>
    <t>PFBA</t>
  </si>
  <si>
    <t>PFPS</t>
  </si>
  <si>
    <t>PFHpS</t>
  </si>
  <si>
    <t>PFNA</t>
  </si>
  <si>
    <t>PFNS</t>
  </si>
  <si>
    <t>PFDA</t>
  </si>
  <si>
    <t>PFDS</t>
  </si>
  <si>
    <t>PFUdA</t>
  </si>
  <si>
    <t>PFDoA</t>
  </si>
  <si>
    <t>PFDoDS</t>
  </si>
  <si>
    <t>PFTrDA</t>
  </si>
  <si>
    <t>PFTeDA</t>
  </si>
  <si>
    <t>PFUnDS</t>
  </si>
  <si>
    <t>PFTrDS</t>
  </si>
  <si>
    <t>Perfluorobutyric Acid</t>
  </si>
  <si>
    <t>Perfluoropentanoic acid</t>
  </si>
  <si>
    <t>Perfluoro-1-butanesuflonic Acid</t>
  </si>
  <si>
    <t>Perfluorohexanoic Acid</t>
  </si>
  <si>
    <t>Perfluoropentane sulfonic acid</t>
  </si>
  <si>
    <t>Perfluoroheptanoic Acid</t>
  </si>
  <si>
    <t>Perfluorohexanesulfonic acid</t>
  </si>
  <si>
    <t>6:2 Fluorotelomersulfonate</t>
  </si>
  <si>
    <t>Perfluorooctanloic acid</t>
  </si>
  <si>
    <t>Perfluoroheptanesulfonic acid</t>
  </si>
  <si>
    <t>Perfluorononanoic Acid</t>
  </si>
  <si>
    <t>Perfluorooctanesulfonic acid</t>
  </si>
  <si>
    <t>Perfluorononanesulfonic acid</t>
  </si>
  <si>
    <t>Perfluorodecanoic Acid</t>
  </si>
  <si>
    <t>Perfluorodecanesulfonic acid</t>
  </si>
  <si>
    <t>Perfluoroundecanoic Acid</t>
  </si>
  <si>
    <t>Perfluorooctanesulphonamide</t>
  </si>
  <si>
    <t>Perfluorododecanoic Acid</t>
  </si>
  <si>
    <t>Perfluoro-1-dodecanesulfonate</t>
  </si>
  <si>
    <t>Perfluorotridecanoic Acid</t>
  </si>
  <si>
    <t>Perfluorotetradecanoic Acid</t>
  </si>
  <si>
    <t>Perfluoroundecane sulfonic acid</t>
  </si>
  <si>
    <t>Perfluorotridecane sulfonic acid</t>
  </si>
  <si>
    <t> 6:2 Fluorotelomer Sulfonamide Propyl Betaine</t>
  </si>
  <si>
    <t>QL (ug/l)</t>
  </si>
  <si>
    <t>Sample name</t>
  </si>
  <si>
    <t>Sample no (lab)</t>
  </si>
  <si>
    <t>Conc. [ug/l]</t>
  </si>
  <si>
    <t>Aless P  no 295 s 001</t>
  </si>
  <si>
    <t>&lt; 0.05</t>
  </si>
  <si>
    <t>&lt; 0.02</t>
  </si>
  <si>
    <t>Aless P  no 295 s 002</t>
  </si>
  <si>
    <t>Aless P  no 295 s 003</t>
  </si>
  <si>
    <t>Aless P  no 295 s 004</t>
  </si>
  <si>
    <t>Aless P  no 295 s 005</t>
  </si>
  <si>
    <t>Aless P  no 295 s 006</t>
  </si>
  <si>
    <t>Aless P  no 295 s 007</t>
  </si>
  <si>
    <t>Aless P  no 295 s 008</t>
  </si>
  <si>
    <t>Aless P  no 295 s 009</t>
  </si>
  <si>
    <t>Aless P  no 295 s 010</t>
  </si>
  <si>
    <t>Aless P  no 295 s 011</t>
  </si>
  <si>
    <t>Aless P  no 295 s 012</t>
  </si>
  <si>
    <t>port</t>
  </si>
  <si>
    <t>sparging hours</t>
  </si>
  <si>
    <t>Aless no 208 Sample 000_20250416 PFAS ESSC 189 Anton S 207 Aless P 208_4162025_025</t>
  </si>
  <si>
    <t>Aless no 208 Sample 001_20250416 PFAS ESSC 189 Anton S 207 Aless P 208_4162025_026</t>
  </si>
  <si>
    <t>Aless no 208 Sample 002_20250416 PFAS ESSC 189 Anton S 207 Aless P 208_4162025_027</t>
  </si>
  <si>
    <t>Aless no 208 Sample 003_20250416 PFAS ESSC 189 Anton S 207 Aless P 208_4162025_028</t>
  </si>
  <si>
    <t>Aless no 208 Sample 004_20250416 PFAS ESSC 189 Anton S 207 Aless P 208_4162025_029</t>
  </si>
  <si>
    <t>Aless no 208 Sample 005_20250416 PFAS ESSC 189 Anton S 207 Aless P 208_4162025_030</t>
  </si>
  <si>
    <t>Aless no 208 Sample 006_20250416 PFAS ESSC 189 Anton S 207 Aless P 208_4162025_031</t>
  </si>
  <si>
    <t>Aless no 208 Sample 007_20250416 PFAS ESSC 189 Anton S 207 Aless P 208_4162025_032</t>
  </si>
  <si>
    <t>Aless no 208 Sample 008_20250416 PFAS ESSC 189 Anton S 207 Aless P 208_4162025_033</t>
  </si>
  <si>
    <t>Aless no 208 Sample 009_20250416 PFAS ESSC 189 Anton S 207 Aless P 208_4162025_034</t>
  </si>
  <si>
    <t>Aless no 208 Sample 010_20250416 PFAS ESSC 189 Anton S 207 Aless P 208_4162025_035</t>
  </si>
  <si>
    <t>Aless no 208 Sample 011_20250416 PFAS ESSC 189 Anton S 207 Aless P 208_4162025_036</t>
  </si>
  <si>
    <t>Aless no 208 Sample 012_20250416 PFAS ESSC 189 Anton S 207 Aless P 208_4162025_037</t>
  </si>
  <si>
    <t>Aless no 208 Sample 013_20250416 PFAS ESSC 189 Anton S 207 Aless P 208_4162025_038</t>
  </si>
  <si>
    <t>Aless no 208 Sample 014_20250416 PFAS ESSC 189 Anton S 207 Aless P 208_4162025_039</t>
  </si>
  <si>
    <t>120+1</t>
  </si>
  <si>
    <t>stock solution</t>
  </si>
  <si>
    <t>after 48 h</t>
  </si>
  <si>
    <t xml:space="preserve">after 120h </t>
  </si>
  <si>
    <t>after 120h+1</t>
  </si>
  <si>
    <t>c/c0</t>
  </si>
  <si>
    <t>conc</t>
  </si>
  <si>
    <t>LCMSMS analysis of extracts</t>
  </si>
  <si>
    <t>2025-06-20</t>
  </si>
  <si>
    <t>QL (ng/g)</t>
  </si>
  <si>
    <t>Conc. [ng/g]</t>
  </si>
  <si>
    <t>AlessP Sample B 001</t>
  </si>
  <si>
    <t>&lt; 0.5</t>
  </si>
  <si>
    <t>&lt; 0.2</t>
  </si>
  <si>
    <t>AlessP Sample B 002</t>
  </si>
  <si>
    <t>AlessP Sample B 003</t>
  </si>
  <si>
    <t>&lt; 0.1</t>
  </si>
  <si>
    <t>AlessP Sample B 004</t>
  </si>
  <si>
    <t>AlessP Sample B 005</t>
  </si>
  <si>
    <t>AlessP Sample B 006</t>
  </si>
  <si>
    <t>AlessP Sample B 007</t>
  </si>
  <si>
    <t>AlessP Sample B 008</t>
  </si>
  <si>
    <t>Ct - total concentration in ng/g</t>
  </si>
  <si>
    <t>Water content</t>
  </si>
  <si>
    <t>coarse sand</t>
  </si>
  <si>
    <t>A1</t>
  </si>
  <si>
    <t>Aless P  no 295 s 013</t>
  </si>
  <si>
    <t>A2</t>
  </si>
  <si>
    <t>Aless P  no 295 s 014</t>
  </si>
  <si>
    <t>A3</t>
  </si>
  <si>
    <t>Aless P  no 295 s 015</t>
  </si>
  <si>
    <t>A4</t>
  </si>
  <si>
    <t>Aless P  no 295 s 016</t>
  </si>
  <si>
    <t>A5</t>
  </si>
  <si>
    <t>Aless P  no 295 s 017</t>
  </si>
  <si>
    <t>A6</t>
  </si>
  <si>
    <t>Aless P  no 295 s 018</t>
  </si>
  <si>
    <t>A7</t>
  </si>
  <si>
    <t>Aless P  no 295 s 019</t>
  </si>
  <si>
    <t>A8</t>
  </si>
  <si>
    <t>Aless P  no 295 s 020</t>
  </si>
  <si>
    <t>A9</t>
  </si>
  <si>
    <t>Aless P  no 295 s 021</t>
  </si>
  <si>
    <t>A10</t>
  </si>
  <si>
    <t>Aless P  no 295 s 022</t>
  </si>
  <si>
    <t>A11</t>
  </si>
  <si>
    <t>Aless P  no 295 s 023</t>
  </si>
  <si>
    <t>A12</t>
  </si>
  <si>
    <t>Aless P  no 295 s 024</t>
  </si>
  <si>
    <t>A13</t>
  </si>
  <si>
    <t>Aless P  no 295 s 025</t>
  </si>
  <si>
    <t>A14</t>
  </si>
  <si>
    <t>Aless P  no 295 s 026</t>
  </si>
  <si>
    <t>A15</t>
  </si>
  <si>
    <t>Aless P  no 295 s 027</t>
  </si>
  <si>
    <t>A16</t>
  </si>
  <si>
    <t>Aless P  no 295 s 028</t>
  </si>
  <si>
    <t>A17</t>
  </si>
  <si>
    <t>Aless P  no 295 s 029</t>
  </si>
  <si>
    <t>A18</t>
  </si>
  <si>
    <t>Aless P  no 295 s 030</t>
  </si>
  <si>
    <t>A19</t>
  </si>
  <si>
    <t>Aless P  no 295 s 031</t>
  </si>
  <si>
    <t>A20</t>
  </si>
  <si>
    <t>Aless P  no 295 s 032</t>
  </si>
  <si>
    <t>A21</t>
  </si>
  <si>
    <t>Aless P  no 295 s 033</t>
  </si>
  <si>
    <t>A25</t>
  </si>
  <si>
    <t>Aless P  no 295 s 034</t>
  </si>
  <si>
    <t>after 48h</t>
  </si>
  <si>
    <t>after 120h</t>
  </si>
  <si>
    <t>c0 stock solution</t>
  </si>
  <si>
    <t xml:space="preserve">conc </t>
  </si>
  <si>
    <t>notes</t>
  </si>
  <si>
    <t>EC uS/cm</t>
  </si>
  <si>
    <t>9 ml, after 120 h of sparging, for bromide</t>
  </si>
  <si>
    <t>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</si>
</sst>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"/>
    <numFmt numFmtId="165" formatCode="0.000"/>
    <numFmt numFmtId="166" formatCode="0.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9"/>
      <name val="Microsoft Sans Serif"/>
      <family val="2"/>
    </font>
    <font>
      <sz val="10"/>
      <color rgb="FF384350"/>
      <name val="Microsoft Sans Serif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000000"/>
      <name val="Microsoft Sans Serif"/>
      <family val="2"/>
    </font>
    <font>
      <sz val="9"/>
      <color rgb="FF000000"/>
      <name val="Microsoft Sans Serif"/>
      <family val="2"/>
    </font>
    <font>
      <b/>
      <sz val="9"/>
      <name val="Microsoft Sans Serif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1E3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indexed="64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indexed="64"/>
      </top>
      <bottom/>
      <diagonal/>
    </border>
    <border>
      <left style="thin">
        <color theme="2" tint="-9.9978637043366805E-2"/>
      </left>
      <right style="medium">
        <color indexed="64"/>
      </right>
      <top style="medium">
        <color indexed="64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 style="medium">
        <color indexed="64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3" xfId="0" applyBorder="1" applyAlignment="1">
      <alignment wrapText="1"/>
    </xf>
    <xf numFmtId="0" fontId="0" fillId="0" borderId="8" xfId="0" applyBorder="1"/>
    <xf numFmtId="0" fontId="0" fillId="0" borderId="7" xfId="0" applyBorder="1" applyAlignment="1">
      <alignment wrapText="1"/>
    </xf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vertical="center"/>
    </xf>
    <xf numFmtId="9" fontId="0" fillId="0" borderId="10" xfId="1" applyFont="1" applyBorder="1"/>
    <xf numFmtId="9" fontId="0" fillId="0" borderId="0" xfId="1" applyFont="1"/>
    <xf numFmtId="0" fontId="0" fillId="0" borderId="0" xfId="0" applyAlignment="1">
      <alignment vertical="top" wrapText="1"/>
    </xf>
    <xf numFmtId="0" fontId="0" fillId="0" borderId="10" xfId="0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3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2" fontId="0" fillId="0" borderId="5" xfId="0" applyNumberFormat="1" applyBorder="1"/>
    <xf numFmtId="2" fontId="0" fillId="0" borderId="11" xfId="0" applyNumberFormat="1" applyBorder="1"/>
    <xf numFmtId="9" fontId="0" fillId="0" borderId="5" xfId="1" applyFont="1" applyBorder="1"/>
    <xf numFmtId="9" fontId="0" fillId="0" borderId="11" xfId="1" applyFont="1" applyBorder="1"/>
    <xf numFmtId="0" fontId="0" fillId="0" borderId="3" xfId="0" applyBorder="1" applyAlignment="1">
      <alignment vertical="center" wrapText="1"/>
    </xf>
    <xf numFmtId="0" fontId="2" fillId="0" borderId="0" xfId="0" applyFont="1"/>
    <xf numFmtId="0" fontId="5" fillId="0" borderId="16" xfId="0" applyFont="1" applyBorder="1" applyAlignment="1">
      <alignment horizontal="center" vertical="center" wrapText="1" readingOrder="1"/>
    </xf>
    <xf numFmtId="0" fontId="5" fillId="0" borderId="17" xfId="0" applyFont="1" applyBorder="1" applyAlignment="1">
      <alignment horizontal="center" vertical="center" wrapText="1" readingOrder="1"/>
    </xf>
    <xf numFmtId="0" fontId="5" fillId="0" borderId="18" xfId="0" applyFont="1" applyBorder="1" applyAlignment="1">
      <alignment horizontal="center" vertical="center" wrapText="1" readingOrder="1"/>
    </xf>
    <xf numFmtId="0" fontId="4" fillId="0" borderId="0" xfId="3" applyAlignment="1">
      <alignment wrapText="1"/>
    </xf>
    <xf numFmtId="49" fontId="5" fillId="0" borderId="7" xfId="0" applyNumberFormat="1" applyFont="1" applyBorder="1" applyAlignment="1">
      <alignment horizontal="center" vertical="center" wrapText="1" readingOrder="1"/>
    </xf>
    <xf numFmtId="0" fontId="0" fillId="0" borderId="7" xfId="0" applyBorder="1" applyAlignment="1">
      <alignment horizontal="center"/>
    </xf>
    <xf numFmtId="49" fontId="0" fillId="0" borderId="7" xfId="0" applyNumberFormat="1" applyBorder="1" applyAlignment="1">
      <alignment horizontal="center"/>
    </xf>
    <xf numFmtId="164" fontId="0" fillId="0" borderId="10" xfId="0" applyNumberFormat="1" applyBorder="1"/>
    <xf numFmtId="164" fontId="0" fillId="0" borderId="11" xfId="0" applyNumberFormat="1" applyBorder="1"/>
    <xf numFmtId="0" fontId="5" fillId="0" borderId="19" xfId="0" applyFont="1" applyBorder="1" applyAlignment="1">
      <alignment horizontal="left" vertical="center" wrapText="1" readingOrder="1"/>
    </xf>
    <xf numFmtId="165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0" fillId="0" borderId="0" xfId="0" applyAlignment="1">
      <alignment horizontal="center"/>
    </xf>
    <xf numFmtId="11" fontId="6" fillId="0" borderId="23" xfId="0" applyNumberFormat="1" applyFont="1" applyBorder="1" applyAlignment="1">
      <alignment horizontal="center" vertical="top"/>
    </xf>
    <xf numFmtId="11" fontId="6" fillId="0" borderId="24" xfId="0" applyNumberFormat="1" applyFont="1" applyBorder="1" applyAlignment="1">
      <alignment horizontal="center" vertical="top"/>
    </xf>
    <xf numFmtId="11" fontId="6" fillId="3" borderId="25" xfId="0" applyNumberFormat="1" applyFont="1" applyFill="1" applyBorder="1" applyAlignment="1">
      <alignment horizontal="center" vertical="top"/>
    </xf>
    <xf numFmtId="0" fontId="2" fillId="0" borderId="7" xfId="0" applyFon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11" fontId="6" fillId="0" borderId="25" xfId="0" applyNumberFormat="1" applyFont="1" applyBorder="1" applyAlignment="1">
      <alignment horizontal="center" vertical="top"/>
    </xf>
    <xf numFmtId="165" fontId="0" fillId="0" borderId="23" xfId="0" applyNumberFormat="1" applyBorder="1"/>
    <xf numFmtId="165" fontId="0" fillId="0" borderId="24" xfId="0" applyNumberFormat="1" applyBorder="1"/>
    <xf numFmtId="165" fontId="0" fillId="0" borderId="25" xfId="0" applyNumberFormat="1" applyBorder="1"/>
    <xf numFmtId="0" fontId="2" fillId="0" borderId="9" xfId="0" applyFont="1" applyBorder="1"/>
    <xf numFmtId="165" fontId="2" fillId="0" borderId="26" xfId="0" applyNumberFormat="1" applyFont="1" applyBorder="1"/>
    <xf numFmtId="165" fontId="2" fillId="0" borderId="27" xfId="0" applyNumberFormat="1" applyFont="1" applyBorder="1"/>
    <xf numFmtId="165" fontId="2" fillId="4" borderId="27" xfId="0" applyNumberFormat="1" applyFont="1" applyFill="1" applyBorder="1"/>
    <xf numFmtId="165" fontId="2" fillId="0" borderId="28" xfId="0" applyNumberFormat="1" applyFont="1" applyBorder="1"/>
    <xf numFmtId="0" fontId="0" fillId="4" borderId="0" xfId="0" applyFill="1"/>
    <xf numFmtId="0" fontId="5" fillId="0" borderId="29" xfId="0" applyFont="1" applyBorder="1" applyAlignment="1">
      <alignment horizontal="center" vertical="center" wrapText="1" readingOrder="1"/>
    </xf>
    <xf numFmtId="2" fontId="0" fillId="5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0" fontId="5" fillId="0" borderId="30" xfId="0" applyFont="1" applyBorder="1" applyAlignment="1">
      <alignment horizontal="center" vertical="center" wrapText="1" readingOrder="1"/>
    </xf>
    <xf numFmtId="20" fontId="0" fillId="0" borderId="0" xfId="0" applyNumberForma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3" xfId="0" applyFont="1" applyBorder="1"/>
    <xf numFmtId="0" fontId="2" fillId="0" borderId="4" xfId="0" applyFont="1" applyBorder="1" applyAlignment="1">
      <alignment wrapText="1"/>
    </xf>
    <xf numFmtId="0" fontId="2" fillId="0" borderId="5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Alignment="1">
      <alignment horizontal="center"/>
    </xf>
    <xf numFmtId="0" fontId="11" fillId="7" borderId="31" xfId="0" applyFont="1" applyFill="1" applyBorder="1" applyAlignment="1">
      <alignment horizontal="center" vertical="center" wrapText="1" readingOrder="1"/>
    </xf>
    <xf numFmtId="165" fontId="5" fillId="0" borderId="0" xfId="0" applyNumberFormat="1" applyFont="1"/>
    <xf numFmtId="9" fontId="5" fillId="0" borderId="8" xfId="1" applyFont="1" applyBorder="1"/>
    <xf numFmtId="9" fontId="0" fillId="0" borderId="7" xfId="1" applyFont="1" applyBorder="1"/>
    <xf numFmtId="9" fontId="0" fillId="0" borderId="0" xfId="1" applyFont="1" applyBorder="1"/>
    <xf numFmtId="9" fontId="0" fillId="0" borderId="8" xfId="1" applyFont="1" applyBorder="1"/>
    <xf numFmtId="9" fontId="2" fillId="0" borderId="0" xfId="0" applyNumberFormat="1" applyFont="1"/>
    <xf numFmtId="0" fontId="11" fillId="7" borderId="7" xfId="0" applyFont="1" applyFill="1" applyBorder="1" applyAlignment="1">
      <alignment horizontal="center" vertical="center" wrapText="1" readingOrder="1"/>
    </xf>
    <xf numFmtId="0" fontId="5" fillId="7" borderId="31" xfId="0" applyFont="1" applyFill="1" applyBorder="1" applyAlignment="1">
      <alignment horizontal="center" vertical="center" wrapText="1" readingOrder="1"/>
    </xf>
    <xf numFmtId="0" fontId="12" fillId="0" borderId="0" xfId="0" applyFont="1"/>
    <xf numFmtId="0" fontId="5" fillId="7" borderId="7" xfId="0" applyFont="1" applyFill="1" applyBorder="1" applyAlignment="1">
      <alignment horizontal="center" vertical="center" wrapText="1" readingOrder="1"/>
    </xf>
    <xf numFmtId="0" fontId="14" fillId="0" borderId="0" xfId="0" applyFont="1"/>
    <xf numFmtId="0" fontId="5" fillId="7" borderId="9" xfId="0" applyFont="1" applyFill="1" applyBorder="1" applyAlignment="1">
      <alignment horizontal="center" vertical="center" wrapText="1" readingOrder="1"/>
    </xf>
    <xf numFmtId="165" fontId="5" fillId="0" borderId="10" xfId="0" applyNumberFormat="1" applyFont="1" applyBorder="1"/>
    <xf numFmtId="9" fontId="5" fillId="0" borderId="11" xfId="1" applyFont="1" applyBorder="1"/>
    <xf numFmtId="9" fontId="0" fillId="0" borderId="9" xfId="1" applyFont="1" applyBorder="1"/>
    <xf numFmtId="0" fontId="5" fillId="0" borderId="0" xfId="0" applyFont="1"/>
    <xf numFmtId="0" fontId="7" fillId="0" borderId="0" xfId="0" applyFont="1" applyAlignment="1">
      <alignment horizontal="center" vertical="center"/>
    </xf>
    <xf numFmtId="11" fontId="0" fillId="0" borderId="0" xfId="0" applyNumberFormat="1" applyAlignment="1">
      <alignment horizontal="left" vertical="center"/>
    </xf>
    <xf numFmtId="11" fontId="0" fillId="0" borderId="0" xfId="2" applyNumberFormat="1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1" fontId="0" fillId="0" borderId="0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1" fillId="7" borderId="29" xfId="0" applyFont="1" applyFill="1" applyBorder="1" applyAlignment="1">
      <alignment horizontal="center" vertical="center" wrapText="1" readingOrder="1"/>
    </xf>
    <xf numFmtId="0" fontId="0" fillId="7" borderId="0" xfId="0" applyFill="1"/>
    <xf numFmtId="11" fontId="0" fillId="7" borderId="29" xfId="2" applyNumberFormat="1" applyFont="1" applyFill="1" applyBorder="1" applyAlignment="1">
      <alignment horizontal="center" vertical="center"/>
    </xf>
    <xf numFmtId="164" fontId="0" fillId="7" borderId="0" xfId="0" applyNumberFormat="1" applyFill="1"/>
    <xf numFmtId="164" fontId="0" fillId="7" borderId="29" xfId="0" applyNumberFormat="1" applyFill="1" applyBorder="1"/>
    <xf numFmtId="166" fontId="5" fillId="7" borderId="29" xfId="0" applyNumberFormat="1" applyFont="1" applyFill="1" applyBorder="1"/>
    <xf numFmtId="2" fontId="0" fillId="7" borderId="0" xfId="0" applyNumberFormat="1" applyFill="1"/>
    <xf numFmtId="165" fontId="0" fillId="7" borderId="29" xfId="0" applyNumberFormat="1" applyFill="1" applyBorder="1"/>
    <xf numFmtId="165" fontId="0" fillId="7" borderId="0" xfId="0" applyNumberFormat="1" applyFill="1"/>
    <xf numFmtId="9" fontId="0" fillId="7" borderId="0" xfId="1" applyFont="1" applyFill="1"/>
    <xf numFmtId="164" fontId="0" fillId="0" borderId="0" xfId="0" applyNumberFormat="1"/>
    <xf numFmtId="2" fontId="0" fillId="7" borderId="29" xfId="0" applyNumberFormat="1" applyFill="1" applyBorder="1"/>
    <xf numFmtId="2" fontId="0" fillId="7" borderId="29" xfId="2" applyNumberFormat="1" applyFont="1" applyFill="1" applyBorder="1"/>
    <xf numFmtId="0" fontId="11" fillId="7" borderId="0" xfId="0" applyFont="1" applyFill="1" applyAlignment="1">
      <alignment horizontal="center" vertical="center" wrapText="1" readingOrder="1"/>
    </xf>
    <xf numFmtId="0" fontId="5" fillId="7" borderId="29" xfId="0" applyFont="1" applyFill="1" applyBorder="1" applyAlignment="1">
      <alignment horizontal="center" vertical="center" wrapText="1" readingOrder="1"/>
    </xf>
    <xf numFmtId="11" fontId="5" fillId="7" borderId="29" xfId="2" applyNumberFormat="1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 wrapText="1" readingOrder="1"/>
    </xf>
    <xf numFmtId="0" fontId="15" fillId="0" borderId="3" xfId="0" applyFont="1" applyBorder="1"/>
    <xf numFmtId="0" fontId="16" fillId="0" borderId="4" xfId="0" applyFont="1" applyBorder="1" applyAlignment="1">
      <alignment wrapText="1"/>
    </xf>
    <xf numFmtId="0" fontId="16" fillId="0" borderId="5" xfId="0" applyFont="1" applyBorder="1"/>
    <xf numFmtId="9" fontId="2" fillId="0" borderId="0" xfId="1" applyFont="1"/>
    <xf numFmtId="9" fontId="0" fillId="0" borderId="7" xfId="1" applyFont="1" applyFill="1" applyBorder="1"/>
    <xf numFmtId="9" fontId="0" fillId="0" borderId="0" xfId="1" applyFont="1" applyFill="1" applyBorder="1"/>
    <xf numFmtId="9" fontId="2" fillId="0" borderId="8" xfId="0" applyNumberFormat="1" applyFont="1" applyBorder="1"/>
    <xf numFmtId="9" fontId="0" fillId="0" borderId="0" xfId="0" applyNumberFormat="1"/>
    <xf numFmtId="9" fontId="0" fillId="0" borderId="9" xfId="1" applyFont="1" applyFill="1" applyBorder="1"/>
    <xf numFmtId="9" fontId="0" fillId="0" borderId="10" xfId="1" applyFont="1" applyFill="1" applyBorder="1"/>
    <xf numFmtId="9" fontId="2" fillId="0" borderId="11" xfId="0" applyNumberFormat="1" applyFont="1" applyBorder="1"/>
    <xf numFmtId="0" fontId="10" fillId="0" borderId="3" xfId="0" applyFont="1" applyBorder="1" applyAlignment="1">
      <alignment wrapText="1"/>
    </xf>
    <xf numFmtId="9" fontId="5" fillId="0" borderId="8" xfId="1" applyFont="1" applyFill="1" applyBorder="1"/>
    <xf numFmtId="9" fontId="5" fillId="0" borderId="11" xfId="1" applyFont="1" applyFill="1" applyBorder="1"/>
    <xf numFmtId="49" fontId="2" fillId="0" borderId="0" xfId="0" applyNumberFormat="1" applyFont="1" applyAlignment="1">
      <alignment horizontal="center"/>
    </xf>
    <xf numFmtId="0" fontId="19" fillId="0" borderId="0" xfId="0" applyFont="1"/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165" fontId="21" fillId="0" borderId="0" xfId="0" applyNumberFormat="1" applyFont="1" applyAlignment="1">
      <alignment horizontal="center"/>
    </xf>
    <xf numFmtId="0" fontId="21" fillId="0" borderId="35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165" fontId="21" fillId="0" borderId="24" xfId="0" applyNumberFormat="1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top"/>
    </xf>
    <xf numFmtId="165" fontId="6" fillId="0" borderId="24" xfId="0" applyNumberFormat="1" applyFont="1" applyBorder="1" applyAlignment="1">
      <alignment horizontal="center" vertical="top"/>
    </xf>
    <xf numFmtId="165" fontId="6" fillId="3" borderId="24" xfId="0" applyNumberFormat="1" applyFont="1" applyFill="1" applyBorder="1" applyAlignment="1">
      <alignment horizontal="center" vertical="top"/>
    </xf>
    <xf numFmtId="0" fontId="7" fillId="0" borderId="3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top"/>
    </xf>
    <xf numFmtId="165" fontId="6" fillId="3" borderId="0" xfId="0" applyNumberFormat="1" applyFont="1" applyFill="1" applyAlignment="1">
      <alignment horizontal="center" vertical="top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165" fontId="22" fillId="0" borderId="24" xfId="0" applyNumberFormat="1" applyFont="1" applyBorder="1" applyAlignment="1">
      <alignment horizontal="center" vertical="top"/>
    </xf>
    <xf numFmtId="165" fontId="22" fillId="3" borderId="24" xfId="0" applyNumberFormat="1" applyFont="1" applyFill="1" applyBorder="1" applyAlignment="1">
      <alignment horizontal="center" vertical="top"/>
    </xf>
    <xf numFmtId="0" fontId="7" fillId="2" borderId="36" xfId="0" applyFont="1" applyFill="1" applyBorder="1" applyAlignment="1">
      <alignment horizontal="center" vertical="center"/>
    </xf>
    <xf numFmtId="165" fontId="6" fillId="0" borderId="37" xfId="0" applyNumberFormat="1" applyFont="1" applyBorder="1" applyAlignment="1">
      <alignment horizontal="center" vertical="top"/>
    </xf>
    <xf numFmtId="165" fontId="0" fillId="0" borderId="0" xfId="0" applyNumberFormat="1"/>
    <xf numFmtId="0" fontId="7" fillId="2" borderId="38" xfId="0" applyFont="1" applyFill="1" applyBorder="1" applyAlignment="1">
      <alignment horizontal="center" vertical="center"/>
    </xf>
    <xf numFmtId="0" fontId="0" fillId="0" borderId="0" xfId="1" applyNumberFormat="1" applyFont="1"/>
    <xf numFmtId="165" fontId="6" fillId="0" borderId="39" xfId="0" applyNumberFormat="1" applyFont="1" applyBorder="1" applyAlignment="1">
      <alignment horizontal="center" vertical="top"/>
    </xf>
    <xf numFmtId="165" fontId="6" fillId="3" borderId="39" xfId="0" applyNumberFormat="1" applyFont="1" applyFill="1" applyBorder="1" applyAlignment="1">
      <alignment horizontal="center" vertical="top"/>
    </xf>
    <xf numFmtId="165" fontId="22" fillId="0" borderId="0" xfId="0" applyNumberFormat="1" applyFont="1" applyAlignment="1">
      <alignment horizontal="center" vertical="top"/>
    </xf>
    <xf numFmtId="165" fontId="22" fillId="3" borderId="0" xfId="0" applyNumberFormat="1" applyFont="1" applyFill="1" applyAlignment="1">
      <alignment horizontal="center" vertical="top"/>
    </xf>
    <xf numFmtId="0" fontId="0" fillId="0" borderId="0" xfId="1" applyNumberFormat="1" applyFont="1" applyBorder="1"/>
    <xf numFmtId="0" fontId="22" fillId="0" borderId="39" xfId="0" applyFont="1" applyBorder="1" applyAlignment="1">
      <alignment horizontal="center" vertical="top"/>
    </xf>
    <xf numFmtId="0" fontId="22" fillId="0" borderId="0" xfId="0" applyFont="1" applyAlignment="1">
      <alignment horizontal="center" vertical="top"/>
    </xf>
    <xf numFmtId="165" fontId="6" fillId="0" borderId="24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4">
    <cellStyle name="Collegamento ipertestuale" xfId="3" builtinId="8"/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4 -</a:t>
            </a:r>
            <a:r>
              <a:rPr lang="it-IT" baseline="0"/>
              <a:t> SHORT CHAIN PFAS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[1]ex.1!$N$82</c:f>
              <c:strCache>
                <c:ptCount val="1"/>
                <c:pt idx="0">
                  <c:v>PFPeA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[1]ex.1!$N$83:$N$88</c:f>
              <c:numCache>
                <c:formatCode>General</c:formatCode>
                <c:ptCount val="6"/>
                <c:pt idx="0">
                  <c:v>0</c:v>
                </c:pt>
                <c:pt idx="1">
                  <c:v>9.6709631369235874E-4</c:v>
                </c:pt>
                <c:pt idx="2">
                  <c:v>1.5368953355939662E-3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7-4595-9CAC-D78BF4F9BF09}"/>
            </c:ext>
          </c:extLst>
        </c:ser>
        <c:ser>
          <c:idx val="1"/>
          <c:order val="1"/>
          <c:tx>
            <c:strRef>
              <c:f>[1]ex.1!$O$82</c:f>
              <c:strCache>
                <c:ptCount val="1"/>
                <c:pt idx="0">
                  <c:v>PFBS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[1]ex.1!$O$83:$O$88</c:f>
              <c:numCache>
                <c:formatCode>General</c:formatCode>
                <c:ptCount val="6"/>
                <c:pt idx="0">
                  <c:v>0</c:v>
                </c:pt>
                <c:pt idx="1">
                  <c:v>1.5645447707108974E-3</c:v>
                </c:pt>
                <c:pt idx="2">
                  <c:v>1.9114581007697352E-3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97-4595-9CAC-D78BF4F9BF09}"/>
            </c:ext>
          </c:extLst>
        </c:ser>
        <c:ser>
          <c:idx val="2"/>
          <c:order val="2"/>
          <c:tx>
            <c:strRef>
              <c:f>[1]ex.1!$P$82</c:f>
              <c:strCache>
                <c:ptCount val="1"/>
                <c:pt idx="0">
                  <c:v>PFHxA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[1]ex.1!$P$83:$P$88</c:f>
              <c:numCache>
                <c:formatCode>General</c:formatCode>
                <c:ptCount val="6"/>
                <c:pt idx="0">
                  <c:v>0</c:v>
                </c:pt>
                <c:pt idx="1">
                  <c:v>1.8347041610454978E-3</c:v>
                </c:pt>
                <c:pt idx="2">
                  <c:v>4.2571490490060033E-3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97-4595-9CAC-D78BF4F9BF09}"/>
            </c:ext>
          </c:extLst>
        </c:ser>
        <c:ser>
          <c:idx val="3"/>
          <c:order val="3"/>
          <c:tx>
            <c:strRef>
              <c:f>[1]ex.1!$Q$82</c:f>
              <c:strCache>
                <c:ptCount val="1"/>
                <c:pt idx="0">
                  <c:v>PFHpA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[1]ex.1!$Q$83:$Q$88</c:f>
              <c:numCache>
                <c:formatCode>General</c:formatCode>
                <c:ptCount val="6"/>
                <c:pt idx="0">
                  <c:v>0</c:v>
                </c:pt>
                <c:pt idx="1">
                  <c:v>3.7766585743155862E-2</c:v>
                </c:pt>
                <c:pt idx="2">
                  <c:v>0.11500904091644476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97-4595-9CAC-D78BF4F9B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26223"/>
        <c:axId val="1133829583"/>
      </c:barChart>
      <c:catAx>
        <c:axId val="1133826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</a:t>
                </a:r>
                <a:r>
                  <a:rPr lang="it-IT" baseline="0"/>
                  <a:t> time (h)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0.40814654012763557"/>
              <c:y val="0.822404821237230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29583"/>
        <c:crosses val="autoZero"/>
        <c:auto val="1"/>
        <c:lblAlgn val="ctr"/>
        <c:lblOffset val="100"/>
        <c:noMultiLvlLbl val="0"/>
      </c:catAx>
      <c:valAx>
        <c:axId val="11338295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layout>
            <c:manualLayout>
              <c:xMode val="edge"/>
              <c:yMode val="edge"/>
              <c:x val="1.936644072485821E-2"/>
              <c:y val="0.41017521000888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2622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2 -</a:t>
            </a:r>
            <a:r>
              <a:rPr lang="it-IT" baseline="0"/>
              <a:t> PRECURSORS</a:t>
            </a:r>
            <a:r>
              <a:rPr lang="it-IT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544925304296922"/>
          <c:y val="0.15818320173871461"/>
          <c:w val="0.86514356996392616"/>
          <c:h val="0.6060627328875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[1]ex.1!$S$55</c:f>
              <c:strCache>
                <c:ptCount val="1"/>
                <c:pt idx="0">
                  <c:v>6.2 FTS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[1]ex.1!$M$65:$M$71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[1]ex.1!$S$65:$S$71</c:f>
              <c:numCache>
                <c:formatCode>General</c:formatCode>
                <c:ptCount val="7"/>
                <c:pt idx="0">
                  <c:v>3.8562010200273661E-3</c:v>
                </c:pt>
                <c:pt idx="1">
                  <c:v>3.5196472750894943E-2</c:v>
                </c:pt>
                <c:pt idx="2">
                  <c:v>6.3141260429480359E-2</c:v>
                </c:pt>
                <c:pt idx="3">
                  <c:v>5.2457233947469054E-2</c:v>
                </c:pt>
                <c:pt idx="4">
                  <c:v>3.6940286473810542E-2</c:v>
                </c:pt>
                <c:pt idx="5">
                  <c:v>2.4489410420496373E-2</c:v>
                </c:pt>
                <c:pt idx="6">
                  <c:v>2.6392171497284071E-2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F1-4EF0-A6A3-234B5286CC85}"/>
            </c:ext>
          </c:extLst>
        </c:ser>
        <c:ser>
          <c:idx val="2"/>
          <c:order val="1"/>
          <c:tx>
            <c:strRef>
              <c:f>[1]ex.1!$W$55</c:f>
              <c:strCache>
                <c:ptCount val="1"/>
                <c:pt idx="0">
                  <c:v>6:2 FTAB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[1]ex.1!$M$65:$M$71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[1]ex.1!$W$65:$W$71</c:f>
              <c:numCache>
                <c:formatCode>General</c:formatCode>
                <c:ptCount val="7"/>
                <c:pt idx="0">
                  <c:v>2.7670171555063645E-2</c:v>
                </c:pt>
                <c:pt idx="1">
                  <c:v>3.9291643608190367E-2</c:v>
                </c:pt>
                <c:pt idx="2">
                  <c:v>2.7670171555063645E-2</c:v>
                </c:pt>
                <c:pt idx="3">
                  <c:v>1.7100166021029331E-2</c:v>
                </c:pt>
                <c:pt idx="4">
                  <c:v>1.8871057000553405E-2</c:v>
                </c:pt>
                <c:pt idx="5">
                  <c:v>2.2080796900940787E-2</c:v>
                </c:pt>
                <c:pt idx="6">
                  <c:v>2.6508024349750969E-2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F1-4EF0-A6A3-234B5286C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39183"/>
        <c:axId val="1133855983"/>
      </c:barChart>
      <c:catAx>
        <c:axId val="11338391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 </a:t>
                </a:r>
              </a:p>
            </c:rich>
          </c:tx>
          <c:layout>
            <c:manualLayout>
              <c:xMode val="edge"/>
              <c:yMode val="edge"/>
              <c:x val="0.41923414617408833"/>
              <c:y val="0.841112258851405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55983"/>
        <c:crosses val="autoZero"/>
        <c:auto val="1"/>
        <c:lblAlgn val="ctr"/>
        <c:lblOffset val="100"/>
        <c:noMultiLvlLbl val="0"/>
      </c:catAx>
      <c:valAx>
        <c:axId val="11338559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3918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3 - SHORT CHAIN PFAS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894675660363612"/>
          <c:y val="0.17277954535617582"/>
          <c:w val="0.86067069954882913"/>
          <c:h val="0.597662517157166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[1]ex.1!$N$73</c:f>
              <c:strCache>
                <c:ptCount val="1"/>
                <c:pt idx="0">
                  <c:v>PFPeA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[1]ex.1!$M$74:$M$80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[1]ex.1!$N$74:$N$80</c:f>
              <c:numCache>
                <c:formatCode>General</c:formatCode>
                <c:ptCount val="7"/>
                <c:pt idx="0">
                  <c:v>1.3107414925746155E-3</c:v>
                </c:pt>
                <c:pt idx="1">
                  <c:v>3.3040193582256497E-3</c:v>
                </c:pt>
                <c:pt idx="2">
                  <c:v>2.6743201292540524E-2</c:v>
                </c:pt>
                <c:pt idx="3">
                  <c:v>2.9527678038424422E-2</c:v>
                </c:pt>
                <c:pt idx="4">
                  <c:v>8.5359153356075482E-2</c:v>
                </c:pt>
                <c:pt idx="5">
                  <c:v>0.10376997777172588</c:v>
                </c:pt>
                <c:pt idx="6">
                  <c:v>9.9264558568751785E-2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3-4E6E-A932-F4689DAFD4BC}"/>
            </c:ext>
          </c:extLst>
        </c:ser>
        <c:ser>
          <c:idx val="1"/>
          <c:order val="1"/>
          <c:tx>
            <c:strRef>
              <c:f>[1]ex.1!$O$73</c:f>
              <c:strCache>
                <c:ptCount val="1"/>
                <c:pt idx="0">
                  <c:v>PFBS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[1]ex.1!$M$74:$M$80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[1]ex.1!$O$74:$O$80</c:f>
              <c:numCache>
                <c:formatCode>General</c:formatCode>
                <c:ptCount val="7"/>
                <c:pt idx="0">
                  <c:v>1.1455009462833902E-3</c:v>
                </c:pt>
                <c:pt idx="1">
                  <c:v>4.9289171151923987E-3</c:v>
                </c:pt>
                <c:pt idx="2">
                  <c:v>3.3453092852554961E-2</c:v>
                </c:pt>
                <c:pt idx="3">
                  <c:v>4.5941972734673125E-2</c:v>
                </c:pt>
                <c:pt idx="4">
                  <c:v>0.11469950779524557</c:v>
                </c:pt>
                <c:pt idx="5">
                  <c:v>0.12384462404555899</c:v>
                </c:pt>
                <c:pt idx="6">
                  <c:v>0.12422760262280216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3-4E6E-A932-F4689DAFD4BC}"/>
            </c:ext>
          </c:extLst>
        </c:ser>
        <c:ser>
          <c:idx val="2"/>
          <c:order val="2"/>
          <c:tx>
            <c:strRef>
              <c:f>[1]ex.1!$P$73</c:f>
              <c:strCache>
                <c:ptCount val="1"/>
                <c:pt idx="0">
                  <c:v>PFHxA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[1]ex.1!$M$74:$M$80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[1]ex.1!$P$74:$P$80</c:f>
              <c:numCache>
                <c:formatCode>General</c:formatCode>
                <c:ptCount val="7"/>
                <c:pt idx="0">
                  <c:v>1.5850845472978109E-3</c:v>
                </c:pt>
                <c:pt idx="1">
                  <c:v>1.0720027775855201E-2</c:v>
                </c:pt>
                <c:pt idx="2">
                  <c:v>6.1528965519588891E-2</c:v>
                </c:pt>
                <c:pt idx="3">
                  <c:v>7.6225887596287928E-2</c:v>
                </c:pt>
                <c:pt idx="4">
                  <c:v>0.12696788189815295</c:v>
                </c:pt>
                <c:pt idx="5">
                  <c:v>0.14796769922198105</c:v>
                </c:pt>
                <c:pt idx="6">
                  <c:v>0.13955778750789988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3-4E6E-A932-F4689DAFD4BC}"/>
            </c:ext>
          </c:extLst>
        </c:ser>
        <c:ser>
          <c:idx val="3"/>
          <c:order val="3"/>
          <c:tx>
            <c:strRef>
              <c:f>[1]ex.1!$Q$73</c:f>
              <c:strCache>
                <c:ptCount val="1"/>
                <c:pt idx="0">
                  <c:v>PFHpA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[1]ex.1!$M$74:$M$80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[1]ex.1!$Q$74:$Q$80</c:f>
              <c:numCache>
                <c:formatCode>General</c:formatCode>
                <c:ptCount val="7"/>
                <c:pt idx="0">
                  <c:v>2.1104801855580456E-3</c:v>
                </c:pt>
                <c:pt idx="1">
                  <c:v>8.3060737417824687E-2</c:v>
                </c:pt>
                <c:pt idx="2">
                  <c:v>0.15444945577228458</c:v>
                </c:pt>
                <c:pt idx="3">
                  <c:v>0.22023075329774192</c:v>
                </c:pt>
                <c:pt idx="4">
                  <c:v>0.20644078992791526</c:v>
                </c:pt>
                <c:pt idx="5">
                  <c:v>0.22207065910053611</c:v>
                </c:pt>
                <c:pt idx="6">
                  <c:v>0.21396648982920224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3-4E6E-A932-F4689DAFD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82863"/>
        <c:axId val="1133866543"/>
      </c:barChart>
      <c:catAx>
        <c:axId val="11338828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layout>
            <c:manualLayout>
              <c:xMode val="edge"/>
              <c:yMode val="edge"/>
              <c:x val="0.38067826799926491"/>
              <c:y val="0.84382121258646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66543"/>
        <c:crosses val="autoZero"/>
        <c:auto val="1"/>
        <c:lblAlgn val="ctr"/>
        <c:lblOffset val="100"/>
        <c:noMultiLvlLbl val="0"/>
      </c:catAx>
      <c:valAx>
        <c:axId val="113386654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8286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3 - LONG CHAIN PFAS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2302212648811263E-2"/>
          <c:y val="0.15578034529149762"/>
          <c:w val="0.87733900610087645"/>
          <c:h val="0.620446899956478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[1]ex.1!$R$73</c:f>
              <c:strCache>
                <c:ptCount val="1"/>
                <c:pt idx="0">
                  <c:v>PFHxS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[1]ex.1!$M$74:$M$80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[1]ex.1!$R$74:$R$80</c:f>
              <c:numCache>
                <c:formatCode>General</c:formatCode>
                <c:ptCount val="7"/>
                <c:pt idx="0">
                  <c:v>1.3136913660790311E-3</c:v>
                </c:pt>
                <c:pt idx="1">
                  <c:v>0.10380828283295143</c:v>
                </c:pt>
                <c:pt idx="2">
                  <c:v>0.10905593765387876</c:v>
                </c:pt>
                <c:pt idx="3">
                  <c:v>0.13046252957583235</c:v>
                </c:pt>
                <c:pt idx="4">
                  <c:v>0.12184798511031274</c:v>
                </c:pt>
                <c:pt idx="5">
                  <c:v>0.12342299262092982</c:v>
                </c:pt>
                <c:pt idx="6">
                  <c:v>0.12794536181620053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9-4316-B498-75323F219183}"/>
            </c:ext>
          </c:extLst>
        </c:ser>
        <c:ser>
          <c:idx val="1"/>
          <c:order val="1"/>
          <c:tx>
            <c:strRef>
              <c:f>[1]ex.1!$T$73</c:f>
              <c:strCache>
                <c:ptCount val="1"/>
                <c:pt idx="0">
                  <c:v>PFOA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[1]ex.1!$M$74:$M$80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[1]ex.1!$T$74:$T$80</c:f>
              <c:numCache>
                <c:formatCode>General</c:formatCode>
                <c:ptCount val="7"/>
                <c:pt idx="0">
                  <c:v>2.0059342220736347E-3</c:v>
                </c:pt>
                <c:pt idx="1">
                  <c:v>9.4496217978185457E-2</c:v>
                </c:pt>
                <c:pt idx="2">
                  <c:v>6.6697312883948354E-2</c:v>
                </c:pt>
                <c:pt idx="3">
                  <c:v>8.0551631911070259E-2</c:v>
                </c:pt>
                <c:pt idx="4">
                  <c:v>6.1413347820636052E-2</c:v>
                </c:pt>
                <c:pt idx="5">
                  <c:v>6.7785532199423307E-2</c:v>
                </c:pt>
                <c:pt idx="6">
                  <c:v>6.6712357390613902E-2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D9-4316-B498-75323F219183}"/>
            </c:ext>
          </c:extLst>
        </c:ser>
        <c:ser>
          <c:idx val="2"/>
          <c:order val="2"/>
          <c:tx>
            <c:strRef>
              <c:f>[1]ex.1!$U$73</c:f>
              <c:strCache>
                <c:ptCount val="1"/>
                <c:pt idx="0">
                  <c:v>PFOS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[1]ex.1!$M$74:$M$80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[1]ex.1!$U$74:$U$80</c:f>
              <c:numCache>
                <c:formatCode>General</c:formatCode>
                <c:ptCount val="7"/>
                <c:pt idx="0">
                  <c:v>3.1585808112037702E-3</c:v>
                </c:pt>
                <c:pt idx="1">
                  <c:v>1.672877985193108E-2</c:v>
                </c:pt>
                <c:pt idx="2">
                  <c:v>3.3424135568293867E-3</c:v>
                </c:pt>
                <c:pt idx="3">
                  <c:v>6.1834650801343653E-3</c:v>
                </c:pt>
                <c:pt idx="4">
                  <c:v>3.1251566756354768E-3</c:v>
                </c:pt>
                <c:pt idx="5">
                  <c:v>8.0217925363905273E-3</c:v>
                </c:pt>
                <c:pt idx="6">
                  <c:v>3.3424135568293867E-3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D9-4316-B498-75323F219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902063"/>
        <c:axId val="1133899183"/>
      </c:barChart>
      <c:catAx>
        <c:axId val="11339020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</a:t>
                </a:r>
                <a:r>
                  <a:rPr lang="it-IT" baseline="0"/>
                  <a:t> time (h)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99183"/>
        <c:crosses val="autoZero"/>
        <c:auto val="1"/>
        <c:lblAlgn val="ctr"/>
        <c:lblOffset val="100"/>
        <c:noMultiLvlLbl val="0"/>
      </c:catAx>
      <c:valAx>
        <c:axId val="11338991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90206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3 - PRECURSORS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[1]ex.1!$S$73</c:f>
              <c:strCache>
                <c:ptCount val="1"/>
                <c:pt idx="0">
                  <c:v>6.2 FTS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[1]ex.1!$M$74:$M$80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[1]ex.1!$S$74:$S$80</c:f>
              <c:numCache>
                <c:formatCode>General</c:formatCode>
                <c:ptCount val="7"/>
                <c:pt idx="0">
                  <c:v>2.0732263548534227E-3</c:v>
                </c:pt>
                <c:pt idx="1">
                  <c:v>0.22806872054290889</c:v>
                </c:pt>
                <c:pt idx="2">
                  <c:v>5.1466692466816857E-2</c:v>
                </c:pt>
                <c:pt idx="3">
                  <c:v>5.2795860918761775E-2</c:v>
                </c:pt>
                <c:pt idx="4">
                  <c:v>5.1305441528106031E-2</c:v>
                </c:pt>
                <c:pt idx="5">
                  <c:v>5.1929713019400796E-2</c:v>
                </c:pt>
                <c:pt idx="6">
                  <c:v>5.2878789972955913E-2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1-4F01-93ED-0C67F2FBA04B}"/>
            </c:ext>
          </c:extLst>
        </c:ser>
        <c:ser>
          <c:idx val="2"/>
          <c:order val="1"/>
          <c:tx>
            <c:strRef>
              <c:f>[1]ex.1!$W$73</c:f>
              <c:strCache>
                <c:ptCount val="1"/>
                <c:pt idx="0">
                  <c:v>6:2 FTAB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[1]ex.1!$M$74:$M$80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[1]ex.1!$W$74:$W$80</c:f>
              <c:numCache>
                <c:formatCode>General</c:formatCode>
                <c:ptCount val="7"/>
                <c:pt idx="0">
                  <c:v>2.7670171555063645E-2</c:v>
                </c:pt>
                <c:pt idx="1">
                  <c:v>4.1505257332595462E-2</c:v>
                </c:pt>
                <c:pt idx="2">
                  <c:v>2.7670171555063645E-2</c:v>
                </c:pt>
                <c:pt idx="3">
                  <c:v>1.9645821804095184E-2</c:v>
                </c:pt>
                <c:pt idx="4">
                  <c:v>2.872163807415606E-2</c:v>
                </c:pt>
                <c:pt idx="5">
                  <c:v>2.9994465965688989E-2</c:v>
                </c:pt>
                <c:pt idx="6">
                  <c:v>2.3464305478693968E-2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1-4F01-93ED-0C67F2FBA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76623"/>
        <c:axId val="1133875183"/>
      </c:barChart>
      <c:catAx>
        <c:axId val="1133876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layout>
            <c:manualLayout>
              <c:xMode val="edge"/>
              <c:yMode val="edge"/>
              <c:x val="0.41679567067186496"/>
              <c:y val="0.797725754158054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75183"/>
        <c:crosses val="autoZero"/>
        <c:auto val="1"/>
        <c:lblAlgn val="ctr"/>
        <c:lblOffset val="100"/>
        <c:noMultiLvlLbl val="0"/>
      </c:catAx>
      <c:valAx>
        <c:axId val="11338751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7662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027623633418052"/>
          <c:y val="0.89336077407823145"/>
          <c:w val="0.25801835096436276"/>
          <c:h val="6.95474905639988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PORT 1 - PFOSA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[1]ex.1!$V$55</c:f>
              <c:strCache>
                <c:ptCount val="1"/>
                <c:pt idx="0">
                  <c:v>PFOSA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[1]ex.1!$M$56:$M$61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[1]ex.1!$V$56:$V$61</c:f>
              <c:numCache>
                <c:formatCode>General</c:formatCode>
                <c:ptCount val="6"/>
                <c:pt idx="0">
                  <c:v>1.5981004423627374</c:v>
                </c:pt>
                <c:pt idx="1">
                  <c:v>3.8236187006678808</c:v>
                </c:pt>
                <c:pt idx="2">
                  <c:v>1.2245641425969294</c:v>
                </c:pt>
                <c:pt idx="3">
                  <c:v>0.74637869719836936</c:v>
                </c:pt>
                <c:pt idx="4">
                  <c:v>0.46005724694249284</c:v>
                </c:pt>
                <c:pt idx="5">
                  <c:v>0.26212160638390147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5-4057-8425-06906D385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123760"/>
        <c:axId val="487132880"/>
      </c:barChart>
      <c:catAx>
        <c:axId val="487123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7132880"/>
        <c:crosses val="autoZero"/>
        <c:auto val="1"/>
        <c:lblAlgn val="ctr"/>
        <c:lblOffset val="100"/>
        <c:noMultiLvlLbl val="0"/>
      </c:catAx>
      <c:valAx>
        <c:axId val="487132880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712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 PORT 2 - PFOSA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[1]ex.1!$V$64</c:f>
              <c:strCache>
                <c:ptCount val="1"/>
                <c:pt idx="0">
                  <c:v>PFOSA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[1]ex.1!$M$65:$M$70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[1]ex.1!$V$65:$V$70</c:f>
              <c:numCache>
                <c:formatCode>General</c:formatCode>
                <c:ptCount val="6"/>
                <c:pt idx="0">
                  <c:v>3.3741000954115703E-2</c:v>
                </c:pt>
                <c:pt idx="1">
                  <c:v>8.8559285280596756E-2</c:v>
                </c:pt>
                <c:pt idx="2">
                  <c:v>8.2747853239656513E-2</c:v>
                </c:pt>
                <c:pt idx="3">
                  <c:v>6.9303495533003731E-2</c:v>
                </c:pt>
                <c:pt idx="4">
                  <c:v>5.3950906409922797E-2</c:v>
                </c:pt>
                <c:pt idx="5">
                  <c:v>4.1243819932344522E-2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E-46C8-8C0C-8DA4F6BCA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4309920"/>
        <c:axId val="474314720"/>
      </c:barChart>
      <c:catAx>
        <c:axId val="474309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314720"/>
        <c:crosses val="autoZero"/>
        <c:auto val="1"/>
        <c:lblAlgn val="ctr"/>
        <c:lblOffset val="100"/>
        <c:noMultiLvlLbl val="0"/>
      </c:catAx>
      <c:valAx>
        <c:axId val="474314720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30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PORT 3 - PFOSA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[1]ex.1!$V$73</c:f>
              <c:strCache>
                <c:ptCount val="1"/>
                <c:pt idx="0">
                  <c:v>PFOSA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[1]ex.1!$M$74:$M$79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[1]ex.1!$V$74:$V$79</c:f>
              <c:numCache>
                <c:formatCode>General</c:formatCode>
                <c:ptCount val="6"/>
                <c:pt idx="0">
                  <c:v>6.939023332465955E-4</c:v>
                </c:pt>
                <c:pt idx="1">
                  <c:v>0.16874837366640644</c:v>
                </c:pt>
                <c:pt idx="2">
                  <c:v>0.11796339665192125</c:v>
                </c:pt>
                <c:pt idx="3">
                  <c:v>7.1211726949431869E-2</c:v>
                </c:pt>
                <c:pt idx="4">
                  <c:v>6.9216757741347903E-2</c:v>
                </c:pt>
                <c:pt idx="5">
                  <c:v>9.883771359181194E-2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E-4EE0-897B-F7AF57289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602400"/>
        <c:axId val="300600000"/>
      </c:barChart>
      <c:catAx>
        <c:axId val="30060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600000"/>
        <c:crosses val="autoZero"/>
        <c:auto val="1"/>
        <c:lblAlgn val="ctr"/>
        <c:lblOffset val="100"/>
        <c:noMultiLvlLbl val="0"/>
      </c:catAx>
      <c:valAx>
        <c:axId val="300600000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602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latin typeface="Times New Roman" panose="02020603050405020304" pitchFamily="18" charset="0"/>
                <a:cs typeface="Times New Roman" panose="02020603050405020304" pitchFamily="18" charset="0"/>
              </a:rPr>
              <a:t>After sparging for 48h</a:t>
            </a:r>
          </a:p>
        </c:rich>
      </c:tx>
      <c:layout>
        <c:manualLayout>
          <c:xMode val="edge"/>
          <c:yMode val="edge"/>
          <c:x val="0.94042943302208204"/>
          <c:y val="0.31805802839647118"/>
        </c:manualLayout>
      </c:layout>
      <c:overlay val="0"/>
      <c:spPr>
        <a:noFill/>
        <a:ln>
          <a:noFill/>
        </a:ln>
        <a:effectLst/>
      </c:spPr>
      <c:txPr>
        <a:bodyPr rot="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31162698208979"/>
          <c:y val="0.12921801654791762"/>
          <c:w val="0.81029513732070135"/>
          <c:h val="0.82212806979261854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[1]ex.1!$C$91</c:f>
              <c:strCache>
                <c:ptCount val="1"/>
                <c:pt idx="0">
                  <c:v>PFPeA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[1]ex.1!$C$92:$C$95</c:f>
              <c:numCache>
                <c:formatCode>General</c:formatCode>
                <c:ptCount val="4"/>
                <c:pt idx="0">
                  <c:v>0.65782244410502511</c:v>
                </c:pt>
                <c:pt idx="1">
                  <c:v>5.3332916793722568E-3</c:v>
                </c:pt>
                <c:pt idx="2">
                  <c:v>2.6743201292540524E-2</c:v>
                </c:pt>
                <c:pt idx="3">
                  <c:v>1.5368953355939662E-3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B3-462A-B627-61E9B1AFCDDD}"/>
            </c:ext>
          </c:extLst>
        </c:ser>
        <c:ser>
          <c:idx val="1"/>
          <c:order val="1"/>
          <c:tx>
            <c:strRef>
              <c:f>[1]ex.1!$D$91</c:f>
              <c:strCache>
                <c:ptCount val="1"/>
                <c:pt idx="0">
                  <c:v>PFBS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[1]ex.1!$D$92:$D$95</c:f>
              <c:numCache>
                <c:formatCode>General</c:formatCode>
                <c:ptCount val="4"/>
                <c:pt idx="0">
                  <c:v>0.60466649950710827</c:v>
                </c:pt>
                <c:pt idx="1">
                  <c:v>6.6188315546869365E-3</c:v>
                </c:pt>
                <c:pt idx="2">
                  <c:v>3.3453092852554961E-2</c:v>
                </c:pt>
                <c:pt idx="3">
                  <c:v>1.9114581007697352E-3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B3-462A-B627-61E9B1AFCDDD}"/>
            </c:ext>
          </c:extLst>
        </c:ser>
        <c:ser>
          <c:idx val="2"/>
          <c:order val="2"/>
          <c:tx>
            <c:strRef>
              <c:f>[1]ex.1!$E$91</c:f>
              <c:strCache>
                <c:ptCount val="1"/>
                <c:pt idx="0">
                  <c:v>PFHxA</c:v>
                </c:pt>
              </c:strCache>
            </c:strRef>
          </c:tx>
          <c:spPr>
            <a:ln w="28575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[1]ex.1!$E$92:$E$95</c:f>
              <c:numCache>
                <c:formatCode>General</c:formatCode>
                <c:ptCount val="4"/>
                <c:pt idx="0">
                  <c:v>0.60705220794221537</c:v>
                </c:pt>
                <c:pt idx="1">
                  <c:v>7.924288101881111E-3</c:v>
                </c:pt>
                <c:pt idx="2">
                  <c:v>6.1528965519588891E-2</c:v>
                </c:pt>
                <c:pt idx="3">
                  <c:v>4.2571490490060033E-3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B3-462A-B627-61E9B1AFCDDD}"/>
            </c:ext>
          </c:extLst>
        </c:ser>
        <c:ser>
          <c:idx val="3"/>
          <c:order val="3"/>
          <c:tx>
            <c:strRef>
              <c:f>[1]ex.1!$F$91</c:f>
              <c:strCache>
                <c:ptCount val="1"/>
                <c:pt idx="0">
                  <c:v>PFHpA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[1]ex.1!$F$92:$F$95</c:f>
              <c:numCache>
                <c:formatCode>General</c:formatCode>
                <c:ptCount val="4"/>
                <c:pt idx="0">
                  <c:v>0.41559105574392091</c:v>
                </c:pt>
                <c:pt idx="1">
                  <c:v>2.3903847194516856E-2</c:v>
                </c:pt>
                <c:pt idx="2">
                  <c:v>0.15444945577228458</c:v>
                </c:pt>
                <c:pt idx="3">
                  <c:v>0.11500904091644476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B3-462A-B627-61E9B1AFCDDD}"/>
            </c:ext>
          </c:extLst>
        </c:ser>
        <c:ser>
          <c:idx val="4"/>
          <c:order val="4"/>
          <c:tx>
            <c:strRef>
              <c:f>[1]ex.1!$G$91</c:f>
              <c:strCache>
                <c:ptCount val="1"/>
                <c:pt idx="0">
                  <c:v>PFHxS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yVal>
            <c:numRef>
              <c:f>[1]ex.1!$G$92:$G$95</c:f>
              <c:numCache>
                <c:formatCode>General</c:formatCode>
                <c:ptCount val="4"/>
                <c:pt idx="0">
                  <c:v>0.19716391988438095</c:v>
                </c:pt>
                <c:pt idx="1">
                  <c:v>4.4288642347081172E-2</c:v>
                </c:pt>
                <c:pt idx="2">
                  <c:v>0.10905593765387876</c:v>
                </c:pt>
                <c:pt idx="3">
                  <c:v>0.69175538675678228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9B3-462A-B627-61E9B1AFCDDD}"/>
            </c:ext>
          </c:extLst>
        </c:ser>
        <c:ser>
          <c:idx val="5"/>
          <c:order val="5"/>
          <c:tx>
            <c:strRef>
              <c:f>[1]ex.1!$H$91</c:f>
              <c:strCache>
                <c:ptCount val="1"/>
                <c:pt idx="0">
                  <c:v>6.2 FTS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[1]ex.1!$H$92:$H$95</c:f>
              <c:numCache>
                <c:formatCode>General</c:formatCode>
                <c:ptCount val="4"/>
                <c:pt idx="0">
                  <c:v>8.7287436709006558E-2</c:v>
                </c:pt>
                <c:pt idx="1">
                  <c:v>6.3141260429480359E-2</c:v>
                </c:pt>
                <c:pt idx="2">
                  <c:v>5.1466692466816857E-2</c:v>
                </c:pt>
                <c:pt idx="3">
                  <c:v>0.61650610680340734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9B3-462A-B627-61E9B1AFCDDD}"/>
            </c:ext>
          </c:extLst>
        </c:ser>
        <c:ser>
          <c:idx val="6"/>
          <c:order val="6"/>
          <c:tx>
            <c:strRef>
              <c:f>[1]ex.1!$I$91</c:f>
              <c:strCache>
                <c:ptCount val="1"/>
                <c:pt idx="0">
                  <c:v>PFOA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yVal>
            <c:numRef>
              <c:f>[1]ex.1!$I$92:$I$95</c:f>
              <c:numCache>
                <c:formatCode>General</c:formatCode>
                <c:ptCount val="4"/>
                <c:pt idx="0">
                  <c:v>0.11377491746416483</c:v>
                </c:pt>
                <c:pt idx="1">
                  <c:v>5.216097622132141E-2</c:v>
                </c:pt>
                <c:pt idx="2">
                  <c:v>6.6697312883948354E-2</c:v>
                </c:pt>
                <c:pt idx="3">
                  <c:v>0.92773120481424221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9B3-462A-B627-61E9B1AFCDDD}"/>
            </c:ext>
          </c:extLst>
        </c:ser>
        <c:ser>
          <c:idx val="7"/>
          <c:order val="7"/>
          <c:tx>
            <c:strRef>
              <c:f>[1]ex.1!$J$91</c:f>
              <c:strCache>
                <c:ptCount val="1"/>
                <c:pt idx="0">
                  <c:v>PFOS</c:v>
                </c:pt>
              </c:strCache>
            </c:strRef>
          </c:tx>
          <c:spPr>
            <a:ln w="28575" cap="rnd">
              <a:solidFill>
                <a:srgbClr val="FF9999"/>
              </a:solidFill>
              <a:round/>
            </a:ln>
            <a:effectLst/>
          </c:spPr>
          <c:marker>
            <c:symbol val="none"/>
          </c:marker>
          <c:yVal>
            <c:numRef>
              <c:f>[1]ex.1!$J$92:$J$95</c:f>
              <c:numCache>
                <c:formatCode>General</c:formatCode>
                <c:ptCount val="4"/>
                <c:pt idx="0">
                  <c:v>0.11773651753931515</c:v>
                </c:pt>
                <c:pt idx="1">
                  <c:v>1.5124421344652974E-2</c:v>
                </c:pt>
                <c:pt idx="2">
                  <c:v>3.3424135568293867E-3</c:v>
                </c:pt>
                <c:pt idx="3">
                  <c:v>0.44875244413991344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9B3-462A-B627-61E9B1AFCDDD}"/>
            </c:ext>
          </c:extLst>
        </c:ser>
        <c:ser>
          <c:idx val="9"/>
          <c:order val="8"/>
          <c:tx>
            <c:strRef>
              <c:f>[1]ex.1!$L$91</c:f>
              <c:strCache>
                <c:ptCount val="1"/>
                <c:pt idx="0">
                  <c:v>6:2 FTAB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[1]ex.1!$L$92:$L$95</c:f>
              <c:numCache>
                <c:formatCode>General</c:formatCode>
                <c:ptCount val="4"/>
                <c:pt idx="0">
                  <c:v>0.24349750968456005</c:v>
                </c:pt>
                <c:pt idx="1">
                  <c:v>2.7670171555063645E-2</c:v>
                </c:pt>
                <c:pt idx="2">
                  <c:v>2.7670171555063645E-2</c:v>
                </c:pt>
                <c:pt idx="3">
                  <c:v>0.26452684006640842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9B3-462A-B627-61E9B1AFC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541552"/>
        <c:axId val="1417538672"/>
      </c:scatterChart>
      <c:valAx>
        <c:axId val="1417541552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Port</a:t>
                </a:r>
              </a:p>
            </c:rich>
          </c:tx>
          <c:layout>
            <c:manualLayout>
              <c:xMode val="edge"/>
              <c:yMode val="edge"/>
              <c:x val="0.45690824451592099"/>
              <c:y val="3.694552181762352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7538672"/>
        <c:crosses val="autoZero"/>
        <c:crossBetween val="midCat"/>
        <c:majorUnit val="1"/>
      </c:valAx>
      <c:valAx>
        <c:axId val="141753867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754155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latin typeface="Times New Roman" panose="02020603050405020304" pitchFamily="18" charset="0"/>
                <a:cs typeface="Times New Roman" panose="02020603050405020304" pitchFamily="18" charset="0"/>
              </a:rPr>
              <a:t>After sparging</a:t>
            </a:r>
            <a:r>
              <a:rPr lang="it-IT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for</a:t>
            </a:r>
            <a:r>
              <a:rPr lang="it-IT">
                <a:latin typeface="Times New Roman" panose="02020603050405020304" pitchFamily="18" charset="0"/>
                <a:cs typeface="Times New Roman" panose="02020603050405020304" pitchFamily="18" charset="0"/>
              </a:rPr>
              <a:t> 120h</a:t>
            </a:r>
          </a:p>
        </c:rich>
      </c:tx>
      <c:layout>
        <c:manualLayout>
          <c:xMode val="edge"/>
          <c:yMode val="edge"/>
          <c:x val="0.92745067667871517"/>
          <c:y val="0.3180342810278413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244774797766604"/>
          <c:y val="0.13419810207199648"/>
          <c:w val="0.80470095199361658"/>
          <c:h val="0.82064530489044196"/>
        </c:manualLayout>
      </c:layout>
      <c:scatterChart>
        <c:scatterStyle val="lineMarker"/>
        <c:varyColors val="0"/>
        <c:ser>
          <c:idx val="10"/>
          <c:order val="0"/>
          <c:tx>
            <c:strRef>
              <c:f>[1]ex.1!$C$97</c:f>
              <c:strCache>
                <c:ptCount val="1"/>
                <c:pt idx="0">
                  <c:v>PFPeA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yVal>
            <c:numRef>
              <c:f>[1]ex.1!$C$98:$C$100</c:f>
              <c:numCache>
                <c:formatCode>General</c:formatCode>
                <c:ptCount val="3"/>
                <c:pt idx="0">
                  <c:v>0.54693371383321254</c:v>
                </c:pt>
                <c:pt idx="1">
                  <c:v>0.19235776587168724</c:v>
                </c:pt>
                <c:pt idx="2">
                  <c:v>0.10376997777172588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E2-4F33-B95A-8490B65940A3}"/>
            </c:ext>
          </c:extLst>
        </c:ser>
        <c:ser>
          <c:idx val="11"/>
          <c:order val="1"/>
          <c:tx>
            <c:strRef>
              <c:f>[1]ex.1!$D$97</c:f>
              <c:strCache>
                <c:ptCount val="1"/>
                <c:pt idx="0">
                  <c:v>PFBS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yVal>
            <c:numRef>
              <c:f>[1]ex.1!$D$98:$D$100</c:f>
              <c:numCache>
                <c:formatCode>General</c:formatCode>
                <c:ptCount val="3"/>
                <c:pt idx="0">
                  <c:v>0.53746320486090837</c:v>
                </c:pt>
                <c:pt idx="1">
                  <c:v>0.22001174696622575</c:v>
                </c:pt>
                <c:pt idx="2">
                  <c:v>0.12384462404555899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E2-4F33-B95A-8490B65940A3}"/>
            </c:ext>
          </c:extLst>
        </c:ser>
        <c:ser>
          <c:idx val="12"/>
          <c:order val="2"/>
          <c:tx>
            <c:strRef>
              <c:f>[1]ex.1!$E$97</c:f>
              <c:strCache>
                <c:ptCount val="1"/>
                <c:pt idx="0">
                  <c:v>PFHxA</c:v>
                </c:pt>
              </c:strCache>
            </c:strRef>
          </c:tx>
          <c:spPr>
            <a:ln>
              <a:solidFill>
                <a:schemeClr val="accent6">
                  <a:lumMod val="40000"/>
                  <a:lumOff val="60000"/>
                </a:schemeClr>
              </a:solidFill>
            </a:ln>
          </c:spPr>
          <c:marker>
            <c:symbol val="none"/>
          </c:marker>
          <c:yVal>
            <c:numRef>
              <c:f>[1]ex.1!$E$98:$E$100</c:f>
              <c:numCache>
                <c:formatCode>General</c:formatCode>
                <c:ptCount val="3"/>
                <c:pt idx="0">
                  <c:v>0.4225084274985505</c:v>
                </c:pt>
                <c:pt idx="1">
                  <c:v>0.20720924137195476</c:v>
                </c:pt>
                <c:pt idx="2">
                  <c:v>0.14796769922198105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E2-4F33-B95A-8490B65940A3}"/>
            </c:ext>
          </c:extLst>
        </c:ser>
        <c:ser>
          <c:idx val="13"/>
          <c:order val="3"/>
          <c:tx>
            <c:strRef>
              <c:f>[1]ex.1!$F$97</c:f>
              <c:strCache>
                <c:ptCount val="1"/>
                <c:pt idx="0">
                  <c:v>PFHpA</c:v>
                </c:pt>
              </c:strCache>
            </c:strRef>
          </c:tx>
          <c:marker>
            <c:symbol val="none"/>
          </c:marker>
          <c:yVal>
            <c:numRef>
              <c:f>[1]ex.1!$F$98:$F$100</c:f>
              <c:numCache>
                <c:formatCode>General</c:formatCode>
                <c:ptCount val="3"/>
                <c:pt idx="0">
                  <c:v>0.20644825404881906</c:v>
                </c:pt>
                <c:pt idx="1">
                  <c:v>0.15602251925276686</c:v>
                </c:pt>
                <c:pt idx="2">
                  <c:v>0.22207065910053611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E2-4F33-B95A-8490B65940A3}"/>
            </c:ext>
          </c:extLst>
        </c:ser>
        <c:ser>
          <c:idx val="14"/>
          <c:order val="4"/>
          <c:tx>
            <c:strRef>
              <c:f>[1]ex.1!$G$97</c:f>
              <c:strCache>
                <c:ptCount val="1"/>
                <c:pt idx="0">
                  <c:v>PFHxS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yVal>
            <c:numRef>
              <c:f>[1]ex.1!$G$98:$G$100</c:f>
              <c:numCache>
                <c:formatCode>General</c:formatCode>
                <c:ptCount val="3"/>
                <c:pt idx="0">
                  <c:v>6.5007279521169262E-2</c:v>
                </c:pt>
                <c:pt idx="1">
                  <c:v>6.4079340558932121E-2</c:v>
                </c:pt>
                <c:pt idx="2">
                  <c:v>0.12342299262092982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E2-4F33-B95A-8490B65940A3}"/>
            </c:ext>
          </c:extLst>
        </c:ser>
        <c:ser>
          <c:idx val="15"/>
          <c:order val="5"/>
          <c:tx>
            <c:strRef>
              <c:f>[1]ex.1!$H$97</c:f>
              <c:strCache>
                <c:ptCount val="1"/>
                <c:pt idx="0">
                  <c:v>6.2 FTS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yVal>
            <c:numRef>
              <c:f>[1]ex.1!$H$98:$H$100</c:f>
              <c:numCache>
                <c:formatCode>General</c:formatCode>
                <c:ptCount val="3"/>
                <c:pt idx="0">
                  <c:v>2.5982133395990838E-2</c:v>
                </c:pt>
                <c:pt idx="1">
                  <c:v>2.4489410420496373E-2</c:v>
                </c:pt>
                <c:pt idx="2">
                  <c:v>5.1929713019400796E-2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FE2-4F33-B95A-8490B65940A3}"/>
            </c:ext>
          </c:extLst>
        </c:ser>
        <c:ser>
          <c:idx val="16"/>
          <c:order val="6"/>
          <c:tx>
            <c:strRef>
              <c:f>[1]ex.1!$I$97</c:f>
              <c:strCache>
                <c:ptCount val="1"/>
                <c:pt idx="0">
                  <c:v>PFOA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yVal>
            <c:numRef>
              <c:f>[1]ex.1!$I$98:$I$100</c:f>
              <c:numCache>
                <c:formatCode>General</c:formatCode>
                <c:ptCount val="3"/>
                <c:pt idx="0">
                  <c:v>2.5859835346232603E-2</c:v>
                </c:pt>
                <c:pt idx="1">
                  <c:v>2.6754147686907103E-2</c:v>
                </c:pt>
                <c:pt idx="2">
                  <c:v>6.7785532199423307E-2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FE2-4F33-B95A-8490B65940A3}"/>
            </c:ext>
          </c:extLst>
        </c:ser>
        <c:ser>
          <c:idx val="17"/>
          <c:order val="7"/>
          <c:tx>
            <c:strRef>
              <c:f>[1]ex.1!$J$97</c:f>
              <c:strCache>
                <c:ptCount val="1"/>
                <c:pt idx="0">
                  <c:v>PFOS</c:v>
                </c:pt>
              </c:strCache>
            </c:strRef>
          </c:tx>
          <c:spPr>
            <a:ln>
              <a:solidFill>
                <a:srgbClr val="FF9999"/>
              </a:solidFill>
            </a:ln>
          </c:spPr>
          <c:marker>
            <c:symbol val="none"/>
          </c:marker>
          <c:yVal>
            <c:numRef>
              <c:f>[1]ex.1!$J$98:$J$100</c:f>
              <c:numCache>
                <c:formatCode>General</c:formatCode>
                <c:ptCount val="3"/>
                <c:pt idx="0">
                  <c:v>1.0227785483897923E-2</c:v>
                </c:pt>
                <c:pt idx="1">
                  <c:v>4.7462272506977295E-3</c:v>
                </c:pt>
                <c:pt idx="2">
                  <c:v>8.0217925363905273E-3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FE2-4F33-B95A-8490B65940A3}"/>
            </c:ext>
          </c:extLst>
        </c:ser>
        <c:ser>
          <c:idx val="18"/>
          <c:order val="8"/>
          <c:tx>
            <c:strRef>
              <c:f>[1]ex.1!$K$97</c:f>
              <c:strCache>
                <c:ptCount val="1"/>
                <c:pt idx="0">
                  <c:v>PFOSA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yVal>
            <c:numRef>
              <c:f>[1]ex.1!$K$98:$K$100</c:f>
              <c:numCache>
                <c:formatCode>General</c:formatCode>
                <c:ptCount val="3"/>
                <c:pt idx="0">
                  <c:v>0.26212160638390147</c:v>
                </c:pt>
                <c:pt idx="1">
                  <c:v>4.1243819932344522E-2</c:v>
                </c:pt>
                <c:pt idx="2">
                  <c:v>9.883771359181194E-2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FE2-4F33-B95A-8490B65940A3}"/>
            </c:ext>
          </c:extLst>
        </c:ser>
        <c:ser>
          <c:idx val="19"/>
          <c:order val="9"/>
          <c:tx>
            <c:strRef>
              <c:f>[1]ex.1!$L$97</c:f>
              <c:strCache>
                <c:ptCount val="1"/>
                <c:pt idx="0">
                  <c:v>6:2 FTAB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yVal>
            <c:numRef>
              <c:f>[1]ex.1!$L$98:$L$100</c:f>
              <c:numCache>
                <c:formatCode>General</c:formatCode>
                <c:ptCount val="3"/>
                <c:pt idx="0">
                  <c:v>9.6624239070282239E-2</c:v>
                </c:pt>
                <c:pt idx="1">
                  <c:v>2.2080796900940787E-2</c:v>
                </c:pt>
                <c:pt idx="2">
                  <c:v>2.9994465965688989E-2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FE2-4F33-B95A-8490B65940A3}"/>
            </c:ext>
          </c:extLst>
        </c:ser>
        <c:ser>
          <c:idx val="0"/>
          <c:order val="10"/>
          <c:tx>
            <c:strRef>
              <c:f>[1]ex.1!$C$97</c:f>
              <c:strCache>
                <c:ptCount val="1"/>
                <c:pt idx="0">
                  <c:v>PFPeA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[1]ex.1!$C$98:$C$100</c:f>
              <c:numCache>
                <c:formatCode>General</c:formatCode>
                <c:ptCount val="3"/>
                <c:pt idx="0">
                  <c:v>0.54693371383321254</c:v>
                </c:pt>
                <c:pt idx="1">
                  <c:v>0.19235776587168724</c:v>
                </c:pt>
                <c:pt idx="2">
                  <c:v>0.10376997777172588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FE2-4F33-B95A-8490B65940A3}"/>
            </c:ext>
          </c:extLst>
        </c:ser>
        <c:ser>
          <c:idx val="1"/>
          <c:order val="11"/>
          <c:tx>
            <c:strRef>
              <c:f>[1]ex.1!$D$97</c:f>
              <c:strCache>
                <c:ptCount val="1"/>
                <c:pt idx="0">
                  <c:v>PFBS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[1]ex.1!$D$98:$D$100</c:f>
              <c:numCache>
                <c:formatCode>General</c:formatCode>
                <c:ptCount val="3"/>
                <c:pt idx="0">
                  <c:v>0.53746320486090837</c:v>
                </c:pt>
                <c:pt idx="1">
                  <c:v>0.22001174696622575</c:v>
                </c:pt>
                <c:pt idx="2">
                  <c:v>0.12384462404555899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FE2-4F33-B95A-8490B65940A3}"/>
            </c:ext>
          </c:extLst>
        </c:ser>
        <c:ser>
          <c:idx val="2"/>
          <c:order val="12"/>
          <c:tx>
            <c:strRef>
              <c:f>[1]ex.1!$E$97</c:f>
              <c:strCache>
                <c:ptCount val="1"/>
                <c:pt idx="0">
                  <c:v>PFHxA</c:v>
                </c:pt>
              </c:strCache>
            </c:strRef>
          </c:tx>
          <c:spPr>
            <a:ln w="28575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[1]ex.1!$E$98:$E$100</c:f>
              <c:numCache>
                <c:formatCode>General</c:formatCode>
                <c:ptCount val="3"/>
                <c:pt idx="0">
                  <c:v>0.4225084274985505</c:v>
                </c:pt>
                <c:pt idx="1">
                  <c:v>0.20720924137195476</c:v>
                </c:pt>
                <c:pt idx="2">
                  <c:v>0.14796769922198105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FE2-4F33-B95A-8490B65940A3}"/>
            </c:ext>
          </c:extLst>
        </c:ser>
        <c:ser>
          <c:idx val="3"/>
          <c:order val="13"/>
          <c:tx>
            <c:strRef>
              <c:f>[1]ex.1!$F$97</c:f>
              <c:strCache>
                <c:ptCount val="1"/>
                <c:pt idx="0">
                  <c:v>PFHpA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[1]ex.1!$F$98:$F$100</c:f>
              <c:numCache>
                <c:formatCode>General</c:formatCode>
                <c:ptCount val="3"/>
                <c:pt idx="0">
                  <c:v>0.20644825404881906</c:v>
                </c:pt>
                <c:pt idx="1">
                  <c:v>0.15602251925276686</c:v>
                </c:pt>
                <c:pt idx="2">
                  <c:v>0.22207065910053611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FE2-4F33-B95A-8490B65940A3}"/>
            </c:ext>
          </c:extLst>
        </c:ser>
        <c:ser>
          <c:idx val="4"/>
          <c:order val="14"/>
          <c:tx>
            <c:strRef>
              <c:f>[1]ex.1!$G$97</c:f>
              <c:strCache>
                <c:ptCount val="1"/>
                <c:pt idx="0">
                  <c:v>PFHxS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yVal>
            <c:numRef>
              <c:f>[1]ex.1!$G$98:$G$100</c:f>
              <c:numCache>
                <c:formatCode>General</c:formatCode>
                <c:ptCount val="3"/>
                <c:pt idx="0">
                  <c:v>6.5007279521169262E-2</c:v>
                </c:pt>
                <c:pt idx="1">
                  <c:v>6.4079340558932121E-2</c:v>
                </c:pt>
                <c:pt idx="2">
                  <c:v>0.12342299262092982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FE2-4F33-B95A-8490B65940A3}"/>
            </c:ext>
          </c:extLst>
        </c:ser>
        <c:ser>
          <c:idx val="5"/>
          <c:order val="15"/>
          <c:tx>
            <c:strRef>
              <c:f>[1]ex.1!$H$97</c:f>
              <c:strCache>
                <c:ptCount val="1"/>
                <c:pt idx="0">
                  <c:v>6.2 FTS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[1]ex.1!$H$98:$H$100</c:f>
              <c:numCache>
                <c:formatCode>General</c:formatCode>
                <c:ptCount val="3"/>
                <c:pt idx="0">
                  <c:v>2.5982133395990838E-2</c:v>
                </c:pt>
                <c:pt idx="1">
                  <c:v>2.4489410420496373E-2</c:v>
                </c:pt>
                <c:pt idx="2">
                  <c:v>5.1929713019400796E-2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FE2-4F33-B95A-8490B65940A3}"/>
            </c:ext>
          </c:extLst>
        </c:ser>
        <c:ser>
          <c:idx val="6"/>
          <c:order val="16"/>
          <c:tx>
            <c:strRef>
              <c:f>[1]ex.1!$I$97</c:f>
              <c:strCache>
                <c:ptCount val="1"/>
                <c:pt idx="0">
                  <c:v>PFOA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yVal>
            <c:numRef>
              <c:f>[1]ex.1!$I$98:$I$100</c:f>
              <c:numCache>
                <c:formatCode>General</c:formatCode>
                <c:ptCount val="3"/>
                <c:pt idx="0">
                  <c:v>2.5859835346232603E-2</c:v>
                </c:pt>
                <c:pt idx="1">
                  <c:v>2.6754147686907103E-2</c:v>
                </c:pt>
                <c:pt idx="2">
                  <c:v>6.7785532199423307E-2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FE2-4F33-B95A-8490B65940A3}"/>
            </c:ext>
          </c:extLst>
        </c:ser>
        <c:ser>
          <c:idx val="7"/>
          <c:order val="17"/>
          <c:tx>
            <c:strRef>
              <c:f>[1]ex.1!$J$97</c:f>
              <c:strCache>
                <c:ptCount val="1"/>
                <c:pt idx="0">
                  <c:v>PFOS</c:v>
                </c:pt>
              </c:strCache>
            </c:strRef>
          </c:tx>
          <c:spPr>
            <a:ln w="28575" cap="rnd">
              <a:solidFill>
                <a:srgbClr val="FF9999"/>
              </a:solidFill>
              <a:round/>
            </a:ln>
            <a:effectLst/>
          </c:spPr>
          <c:marker>
            <c:symbol val="none"/>
          </c:marker>
          <c:yVal>
            <c:numRef>
              <c:f>[1]ex.1!$J$98:$J$100</c:f>
              <c:numCache>
                <c:formatCode>General</c:formatCode>
                <c:ptCount val="3"/>
                <c:pt idx="0">
                  <c:v>1.0227785483897923E-2</c:v>
                </c:pt>
                <c:pt idx="1">
                  <c:v>4.7462272506977295E-3</c:v>
                </c:pt>
                <c:pt idx="2">
                  <c:v>8.0217925363905273E-3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FE2-4F33-B95A-8490B65940A3}"/>
            </c:ext>
          </c:extLst>
        </c:ser>
        <c:ser>
          <c:idx val="8"/>
          <c:order val="18"/>
          <c:tx>
            <c:strRef>
              <c:f>[1]ex.1!$K$97</c:f>
              <c:strCache>
                <c:ptCount val="1"/>
                <c:pt idx="0">
                  <c:v>PFOSA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[1]ex.1!$K$98:$K$100</c:f>
              <c:numCache>
                <c:formatCode>General</c:formatCode>
                <c:ptCount val="3"/>
                <c:pt idx="0">
                  <c:v>0.26212160638390147</c:v>
                </c:pt>
                <c:pt idx="1">
                  <c:v>4.1243819932344522E-2</c:v>
                </c:pt>
                <c:pt idx="2">
                  <c:v>9.883771359181194E-2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6FE2-4F33-B95A-8490B65940A3}"/>
            </c:ext>
          </c:extLst>
        </c:ser>
        <c:ser>
          <c:idx val="9"/>
          <c:order val="19"/>
          <c:tx>
            <c:strRef>
              <c:f>[1]ex.1!$L$97</c:f>
              <c:strCache>
                <c:ptCount val="1"/>
                <c:pt idx="0">
                  <c:v>6:2 FTAB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[1]ex.1!$L$98:$L$100</c:f>
              <c:numCache>
                <c:formatCode>General</c:formatCode>
                <c:ptCount val="3"/>
                <c:pt idx="0">
                  <c:v>9.6624239070282239E-2</c:v>
                </c:pt>
                <c:pt idx="1">
                  <c:v>2.2080796900940787E-2</c:v>
                </c:pt>
                <c:pt idx="2">
                  <c:v>2.9994465965688989E-2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FE2-4F33-B95A-8490B6594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464272"/>
        <c:axId val="1417465712"/>
      </c:scatterChart>
      <c:valAx>
        <c:axId val="1417464272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Port</a:t>
                </a:r>
              </a:p>
            </c:rich>
          </c:tx>
          <c:layout>
            <c:manualLayout>
              <c:xMode val="edge"/>
              <c:yMode val="edge"/>
              <c:x val="0.47966903382789983"/>
              <c:y val="3.9961503032785645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7465712"/>
        <c:crosses val="autoZero"/>
        <c:crossBetween val="midCat"/>
        <c:majorUnit val="1"/>
      </c:valAx>
      <c:valAx>
        <c:axId val="1417465712"/>
        <c:scaling>
          <c:orientation val="maxMin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7464272"/>
        <c:crosses val="autoZero"/>
        <c:crossBetween val="midCat"/>
        <c:majorUnit val="0.1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latin typeface="Times New Roman" panose="02020603050405020304" pitchFamily="18" charset="0"/>
                <a:cs typeface="Times New Roman" panose="02020603050405020304" pitchFamily="18" charset="0"/>
              </a:rPr>
              <a:t>Pore water concentration after</a:t>
            </a:r>
            <a:r>
              <a:rPr lang="it-IT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air-sparging</a:t>
            </a:r>
            <a:endParaRPr lang="it-IT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91236106192673183"/>
          <c:y val="0.23699759969718789"/>
        </c:manualLayout>
      </c:layout>
      <c:overlay val="0"/>
      <c:spPr>
        <a:noFill/>
        <a:ln>
          <a:noFill/>
        </a:ln>
        <a:effectLst/>
      </c:spPr>
      <c:txPr>
        <a:bodyPr rot="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7565402561550385E-2"/>
          <c:y val="0.15129457750464784"/>
          <c:w val="0.8009960821394867"/>
          <c:h val="0.7461539163142051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[1]ex.1!$C$102</c:f>
              <c:strCache>
                <c:ptCount val="1"/>
                <c:pt idx="0">
                  <c:v>PFPeA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[1]ex.1!$C$103:$C$105</c:f>
              <c:numCache>
                <c:formatCode>General</c:formatCode>
                <c:ptCount val="3"/>
                <c:pt idx="0">
                  <c:v>80.232100000000003</c:v>
                </c:pt>
                <c:pt idx="1">
                  <c:v>27.177199999999999</c:v>
                </c:pt>
                <c:pt idx="2">
                  <c:v>14.616199999999999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5C-45FB-A179-7476A112A7DA}"/>
            </c:ext>
          </c:extLst>
        </c:ser>
        <c:ser>
          <c:idx val="1"/>
          <c:order val="1"/>
          <c:tx>
            <c:strRef>
              <c:f>[1]ex.1!$D$102</c:f>
              <c:strCache>
                <c:ptCount val="1"/>
                <c:pt idx="0">
                  <c:v>PFBS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[1]ex.1!$D$103:$D$105</c:f>
              <c:numCache>
                <c:formatCode>General</c:formatCode>
                <c:ptCount val="3"/>
                <c:pt idx="0">
                  <c:v>30.706499999999998</c:v>
                </c:pt>
                <c:pt idx="1">
                  <c:v>12.3825</c:v>
                </c:pt>
                <c:pt idx="2">
                  <c:v>7.2335000000000003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5C-45FB-A179-7476A112A7DA}"/>
            </c:ext>
          </c:extLst>
        </c:ser>
        <c:ser>
          <c:idx val="2"/>
          <c:order val="2"/>
          <c:tx>
            <c:strRef>
              <c:f>[1]ex.1!$E$102</c:f>
              <c:strCache>
                <c:ptCount val="1"/>
                <c:pt idx="0">
                  <c:v>PFHxA</c:v>
                </c:pt>
              </c:strCache>
            </c:strRef>
          </c:tx>
          <c:spPr>
            <a:ln w="19050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[1]ex.1!$E$103:$E$105</c:f>
              <c:numCache>
                <c:formatCode>General</c:formatCode>
                <c:ptCount val="3"/>
                <c:pt idx="0">
                  <c:v>37.911900000000003</c:v>
                </c:pt>
                <c:pt idx="1">
                  <c:v>17.379300000000001</c:v>
                </c:pt>
                <c:pt idx="2">
                  <c:v>12.299799999999999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5C-45FB-A179-7476A112A7DA}"/>
            </c:ext>
          </c:extLst>
        </c:ser>
        <c:ser>
          <c:idx val="3"/>
          <c:order val="3"/>
          <c:tx>
            <c:strRef>
              <c:f>[1]ex.1!$F$102</c:f>
              <c:strCache>
                <c:ptCount val="1"/>
                <c:pt idx="0">
                  <c:v>PFHpA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[1]ex.1!$F$103:$F$105</c:f>
              <c:numCache>
                <c:formatCode>General</c:formatCode>
                <c:ptCount val="3"/>
                <c:pt idx="0">
                  <c:v>11.4373</c:v>
                </c:pt>
                <c:pt idx="1">
                  <c:v>7.9029999999999996</c:v>
                </c:pt>
                <c:pt idx="2">
                  <c:v>11.4664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F5C-45FB-A179-7476A112A7DA}"/>
            </c:ext>
          </c:extLst>
        </c:ser>
        <c:ser>
          <c:idx val="4"/>
          <c:order val="4"/>
          <c:tx>
            <c:strRef>
              <c:f>[1]ex.1!$G$102</c:f>
              <c:strCache>
                <c:ptCount val="1"/>
                <c:pt idx="0">
                  <c:v>PFHxS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[1]ex.1!$G$103:$G$105</c:f>
              <c:numCache>
                <c:formatCode>General</c:formatCode>
                <c:ptCount val="3"/>
                <c:pt idx="0">
                  <c:v>3.8119000000000001</c:v>
                </c:pt>
                <c:pt idx="1">
                  <c:v>3.2793000000000001</c:v>
                </c:pt>
                <c:pt idx="2">
                  <c:v>7.1974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F5C-45FB-A179-7476A112A7DA}"/>
            </c:ext>
          </c:extLst>
        </c:ser>
        <c:ser>
          <c:idx val="5"/>
          <c:order val="5"/>
          <c:tx>
            <c:strRef>
              <c:f>[1]ex.1!$H$102</c:f>
              <c:strCache>
                <c:ptCount val="1"/>
                <c:pt idx="0">
                  <c:v>6.2 FTS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[1]ex.1!$H$103:$H$105</c:f>
              <c:numCache>
                <c:formatCode>General</c:formatCode>
                <c:ptCount val="3"/>
                <c:pt idx="0">
                  <c:v>1.3105</c:v>
                </c:pt>
                <c:pt idx="1">
                  <c:v>1.1456999999999999</c:v>
                </c:pt>
                <c:pt idx="2">
                  <c:v>2.2955000000000001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F5C-45FB-A179-7476A112A7DA}"/>
            </c:ext>
          </c:extLst>
        </c:ser>
        <c:ser>
          <c:idx val="6"/>
          <c:order val="6"/>
          <c:tx>
            <c:strRef>
              <c:f>[1]ex.1!$I$102</c:f>
              <c:strCache>
                <c:ptCount val="1"/>
                <c:pt idx="0">
                  <c:v>PFOA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[1]ex.1!$I$103:$I$105</c:f>
              <c:numCache>
                <c:formatCode>General</c:formatCode>
                <c:ptCount val="3"/>
                <c:pt idx="0">
                  <c:v>1.7070000000000001</c:v>
                </c:pt>
                <c:pt idx="1">
                  <c:v>1.6328</c:v>
                </c:pt>
                <c:pt idx="2">
                  <c:v>3.9908999999999999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F5C-45FB-A179-7476A112A7DA}"/>
            </c:ext>
          </c:extLst>
        </c:ser>
        <c:ser>
          <c:idx val="7"/>
          <c:order val="7"/>
          <c:tx>
            <c:strRef>
              <c:f>[1]ex.1!$J$102</c:f>
              <c:strCache>
                <c:ptCount val="1"/>
                <c:pt idx="0">
                  <c:v>PFOS</c:v>
                </c:pt>
              </c:strCache>
            </c:strRef>
          </c:tx>
          <c:spPr>
            <a:ln w="19050" cap="rnd">
              <a:solidFill>
                <a:srgbClr val="FF9999"/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[1]ex.1!$J$103:$J$105</c:f>
              <c:numCache>
                <c:formatCode>General</c:formatCode>
                <c:ptCount val="3"/>
                <c:pt idx="0">
                  <c:v>0.1817</c:v>
                </c:pt>
                <c:pt idx="1">
                  <c:v>2.7400000000000001E-2</c:v>
                </c:pt>
                <c:pt idx="2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F5C-45FB-A179-7476A112A7DA}"/>
            </c:ext>
          </c:extLst>
        </c:ser>
        <c:ser>
          <c:idx val="8"/>
          <c:order val="8"/>
          <c:tx>
            <c:strRef>
              <c:f>[1]ex.1!$K$102</c:f>
              <c:strCache>
                <c:ptCount val="1"/>
                <c:pt idx="0">
                  <c:v>PFOSA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[1]ex.1!$K$103:$K$105</c:f>
              <c:numCache>
                <c:formatCode>General</c:formatCode>
                <c:ptCount val="3"/>
                <c:pt idx="0">
                  <c:v>1.5492999999999999</c:v>
                </c:pt>
                <c:pt idx="1">
                  <c:v>0.1338</c:v>
                </c:pt>
                <c:pt idx="2">
                  <c:v>0.1303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F5C-45FB-A179-7476A112A7DA}"/>
            </c:ext>
          </c:extLst>
        </c:ser>
        <c:ser>
          <c:idx val="9"/>
          <c:order val="9"/>
          <c:tx>
            <c:strRef>
              <c:f>[1]ex.1!$L$102</c:f>
              <c:strCache>
                <c:ptCount val="1"/>
                <c:pt idx="0">
                  <c:v>6:2 FTAB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[1]ex.1!$B$103:$B$105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[1]ex.1!$L$103:$L$105</c:f>
              <c:numCache>
                <c:formatCode>General</c:formatCode>
                <c:ptCount val="3"/>
                <c:pt idx="0">
                  <c:v>0.1968</c:v>
                </c:pt>
                <c:pt idx="1">
                  <c:v>4.7899999999999998E-2</c:v>
                </c:pt>
                <c:pt idx="2">
                  <c:v>4.24E-2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F5C-45FB-A179-7476A112A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4237103"/>
        <c:axId val="1274230383"/>
      </c:scatterChart>
      <c:valAx>
        <c:axId val="1274237103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port</a:t>
                </a:r>
              </a:p>
            </c:rich>
          </c:tx>
          <c:layout>
            <c:manualLayout>
              <c:xMode val="edge"/>
              <c:yMode val="edge"/>
              <c:x val="0.49338713345580032"/>
              <c:y val="3.86125976120610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4230383"/>
        <c:crosses val="autoZero"/>
        <c:crossBetween val="midCat"/>
        <c:majorUnit val="1"/>
      </c:valAx>
      <c:valAx>
        <c:axId val="1274230383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concentration (ug/l)</a:t>
                </a:r>
              </a:p>
            </c:rich>
          </c:tx>
          <c:layout>
            <c:manualLayout>
              <c:xMode val="edge"/>
              <c:yMode val="edge"/>
              <c:x val="1.2721440737604237E-2"/>
              <c:y val="0.370560491228532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4237103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4 - LONG CHAIN PFAS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[1]ex.1!$R$82</c:f>
              <c:strCache>
                <c:ptCount val="1"/>
                <c:pt idx="0">
                  <c:v>PFHxS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[1]ex.1!$R$83:$R$88</c:f>
              <c:numCache>
                <c:formatCode>General</c:formatCode>
                <c:ptCount val="6"/>
                <c:pt idx="0">
                  <c:v>0</c:v>
                </c:pt>
                <c:pt idx="1">
                  <c:v>0.32196104434019451</c:v>
                </c:pt>
                <c:pt idx="2">
                  <c:v>0.69175538675678228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16-473B-AEA9-E0CF8A34F4B3}"/>
            </c:ext>
          </c:extLst>
        </c:ser>
        <c:ser>
          <c:idx val="1"/>
          <c:order val="1"/>
          <c:tx>
            <c:strRef>
              <c:f>[1]ex.1!$T$82</c:f>
              <c:strCache>
                <c:ptCount val="1"/>
                <c:pt idx="0">
                  <c:v>PFOA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[1]ex.1!$T$83:$T$88</c:f>
              <c:numCache>
                <c:formatCode>General</c:formatCode>
                <c:ptCount val="6"/>
                <c:pt idx="0">
                  <c:v>0</c:v>
                </c:pt>
                <c:pt idx="1">
                  <c:v>0.58654853942914453</c:v>
                </c:pt>
                <c:pt idx="2">
                  <c:v>0.92773120481424221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16-473B-AEA9-E0CF8A34F4B3}"/>
            </c:ext>
          </c:extLst>
        </c:ser>
        <c:ser>
          <c:idx val="2"/>
          <c:order val="2"/>
          <c:tx>
            <c:strRef>
              <c:f>[1]ex.1!$U$82</c:f>
              <c:strCache>
                <c:ptCount val="1"/>
                <c:pt idx="0">
                  <c:v>PFOS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[1]ex.1!$U$83:$U$88</c:f>
              <c:numCache>
                <c:formatCode>General</c:formatCode>
                <c:ptCount val="6"/>
                <c:pt idx="0">
                  <c:v>0</c:v>
                </c:pt>
                <c:pt idx="1">
                  <c:v>0.18105854237344787</c:v>
                </c:pt>
                <c:pt idx="2">
                  <c:v>0.44875244413991344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16-473B-AEA9-E0CF8A34F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74223"/>
        <c:axId val="1133870383"/>
      </c:barChart>
      <c:catAx>
        <c:axId val="1133874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70383"/>
        <c:crosses val="autoZero"/>
        <c:auto val="1"/>
        <c:lblAlgn val="ctr"/>
        <c:lblOffset val="100"/>
        <c:noMultiLvlLbl val="0"/>
      </c:catAx>
      <c:valAx>
        <c:axId val="11338703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7422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87883732101103"/>
          <c:y val="0.17376999662751652"/>
          <c:w val="0.73339063097539647"/>
          <c:h val="0.756258003578078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[2]Samples!$B$19</c:f>
              <c:strCache>
                <c:ptCount val="1"/>
                <c:pt idx="0">
                  <c:v>PFPeA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[2]Samples!$B$23:$B$26</c:f>
              <c:numCache>
                <c:formatCode>General</c:formatCode>
                <c:ptCount val="4"/>
                <c:pt idx="0">
                  <c:v>0.05</c:v>
                </c:pt>
                <c:pt idx="1">
                  <c:v>7.8143040558639604E-2</c:v>
                </c:pt>
                <c:pt idx="2">
                  <c:v>0.30432764712011134</c:v>
                </c:pt>
                <c:pt idx="3">
                  <c:v>0.93715059141999657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4F-43A4-A496-F86A2D8F3534}"/>
            </c:ext>
          </c:extLst>
        </c:ser>
        <c:ser>
          <c:idx val="1"/>
          <c:order val="1"/>
          <c:tx>
            <c:strRef>
              <c:f>[2]Samples!$C$19</c:f>
              <c:strCache>
                <c:ptCount val="1"/>
                <c:pt idx="0">
                  <c:v>PFBS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[2]Samples!$C$23:$C$26</c:f>
              <c:numCache>
                <c:formatCode>General</c:formatCode>
                <c:ptCount val="4"/>
                <c:pt idx="0">
                  <c:v>0.23712930128387735</c:v>
                </c:pt>
                <c:pt idx="1">
                  <c:v>0.32125472229662949</c:v>
                </c:pt>
                <c:pt idx="2">
                  <c:v>0.1</c:v>
                </c:pt>
                <c:pt idx="3">
                  <c:v>0.91400380548853455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4F-43A4-A496-F86A2D8F3534}"/>
            </c:ext>
          </c:extLst>
        </c:ser>
        <c:ser>
          <c:idx val="2"/>
          <c:order val="2"/>
          <c:tx>
            <c:strRef>
              <c:f>[2]Samples!$D$19</c:f>
              <c:strCache>
                <c:ptCount val="1"/>
                <c:pt idx="0">
                  <c:v>PFHxA</c:v>
                </c:pt>
              </c:strCache>
            </c:strRef>
          </c:tx>
          <c:spPr>
            <a:ln w="19050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[2]Samples!$D$23:$D$26</c:f>
              <c:numCache>
                <c:formatCode>General</c:formatCode>
                <c:ptCount val="4"/>
                <c:pt idx="0">
                  <c:v>0.05</c:v>
                </c:pt>
                <c:pt idx="1">
                  <c:v>7.8604878859813598E-2</c:v>
                </c:pt>
                <c:pt idx="2">
                  <c:v>0.32857535258626402</c:v>
                </c:pt>
                <c:pt idx="3">
                  <c:v>0.98050177524078552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4F-43A4-A496-F86A2D8F3534}"/>
            </c:ext>
          </c:extLst>
        </c:ser>
        <c:ser>
          <c:idx val="3"/>
          <c:order val="3"/>
          <c:tx>
            <c:strRef>
              <c:f>[2]Samples!$E$19</c:f>
              <c:strCache>
                <c:ptCount val="1"/>
                <c:pt idx="0">
                  <c:v>PFHpA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[2]Samples!$E$23:$E$26</c:f>
              <c:numCache>
                <c:formatCode>General</c:formatCode>
                <c:ptCount val="4"/>
                <c:pt idx="0">
                  <c:v>0.2</c:v>
                </c:pt>
                <c:pt idx="1">
                  <c:v>0.2</c:v>
                </c:pt>
                <c:pt idx="2">
                  <c:v>1.3197950311147313</c:v>
                </c:pt>
                <c:pt idx="3">
                  <c:v>1.8841091429804431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4F-43A4-A496-F86A2D8F3534}"/>
            </c:ext>
          </c:extLst>
        </c:ser>
        <c:ser>
          <c:idx val="4"/>
          <c:order val="4"/>
          <c:tx>
            <c:strRef>
              <c:f>[2]Samples!$F$19</c:f>
              <c:strCache>
                <c:ptCount val="1"/>
                <c:pt idx="0">
                  <c:v>PFHxS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[2]Samples!$F$23:$F$26</c:f>
              <c:numCache>
                <c:formatCode>General</c:formatCode>
                <c:ptCount val="4"/>
                <c:pt idx="0">
                  <c:v>0.02</c:v>
                </c:pt>
                <c:pt idx="1">
                  <c:v>0.61978700017549859</c:v>
                </c:pt>
                <c:pt idx="2">
                  <c:v>4.2448639381683506</c:v>
                </c:pt>
                <c:pt idx="3">
                  <c:v>2.0698719080405659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4F-43A4-A496-F86A2D8F3534}"/>
            </c:ext>
          </c:extLst>
        </c:ser>
        <c:ser>
          <c:idx val="5"/>
          <c:order val="5"/>
          <c:tx>
            <c:strRef>
              <c:f>[2]Samples!$G$19</c:f>
              <c:strCache>
                <c:ptCount val="1"/>
                <c:pt idx="0">
                  <c:v>6.2 FTS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[2]Samples!$G$23:$G$26</c:f>
              <c:numCache>
                <c:formatCode>General</c:formatCode>
                <c:ptCount val="4"/>
                <c:pt idx="0">
                  <c:v>5.8840286441194094E-2</c:v>
                </c:pt>
                <c:pt idx="1">
                  <c:v>0.92247582276493356</c:v>
                </c:pt>
                <c:pt idx="2">
                  <c:v>2.8786572833098116</c:v>
                </c:pt>
                <c:pt idx="3">
                  <c:v>1.0163008297534279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F4F-43A4-A496-F86A2D8F3534}"/>
            </c:ext>
          </c:extLst>
        </c:ser>
        <c:ser>
          <c:idx val="6"/>
          <c:order val="6"/>
          <c:tx>
            <c:strRef>
              <c:f>[2]Samples!$H$19</c:f>
              <c:strCache>
                <c:ptCount val="1"/>
                <c:pt idx="0">
                  <c:v>PFOA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[2]Samples!$H$23:$H$26</c:f>
              <c:numCache>
                <c:formatCode>General</c:formatCode>
                <c:ptCount val="4"/>
                <c:pt idx="0">
                  <c:v>8.6737851298120838E-2</c:v>
                </c:pt>
                <c:pt idx="1">
                  <c:v>1.0706335497815505</c:v>
                </c:pt>
                <c:pt idx="2">
                  <c:v>4.6261969936633918</c:v>
                </c:pt>
                <c:pt idx="3">
                  <c:v>1.360854469487436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F4F-43A4-A496-F86A2D8F3534}"/>
            </c:ext>
          </c:extLst>
        </c:ser>
        <c:ser>
          <c:idx val="7"/>
          <c:order val="7"/>
          <c:tx>
            <c:strRef>
              <c:f>[2]Samples!$I$19</c:f>
              <c:strCache>
                <c:ptCount val="1"/>
                <c:pt idx="0">
                  <c:v>PFOS</c:v>
                </c:pt>
              </c:strCache>
            </c:strRef>
          </c:tx>
          <c:spPr>
            <a:ln w="19050" cap="rnd">
              <a:solidFill>
                <a:srgbClr val="FF9999"/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[2]Samples!$I$23:$I$26</c:f>
              <c:numCache>
                <c:formatCode>General</c:formatCode>
                <c:ptCount val="4"/>
                <c:pt idx="0">
                  <c:v>0.18329878881346939</c:v>
                </c:pt>
                <c:pt idx="1">
                  <c:v>1.2480718250925986</c:v>
                </c:pt>
                <c:pt idx="2">
                  <c:v>0.62627276774297425</c:v>
                </c:pt>
                <c:pt idx="3">
                  <c:v>0.25618391886855374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F4F-43A4-A496-F86A2D8F3534}"/>
            </c:ext>
          </c:extLst>
        </c:ser>
        <c:ser>
          <c:idx val="8"/>
          <c:order val="8"/>
          <c:tx>
            <c:strRef>
              <c:f>[2]Samples!$J$19</c:f>
              <c:strCache>
                <c:ptCount val="1"/>
                <c:pt idx="0">
                  <c:v>PFOSA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[2]Samples!$J$23:$J$26</c:f>
              <c:numCache>
                <c:formatCode>General</c:formatCode>
                <c:ptCount val="4"/>
                <c:pt idx="0">
                  <c:v>0.34655848174379422</c:v>
                </c:pt>
                <c:pt idx="1">
                  <c:v>1.2592483119810092</c:v>
                </c:pt>
                <c:pt idx="2">
                  <c:v>0.84459683453782541</c:v>
                </c:pt>
                <c:pt idx="3">
                  <c:v>0.20998842660703429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F4F-43A4-A496-F86A2D8F3534}"/>
            </c:ext>
          </c:extLst>
        </c:ser>
        <c:ser>
          <c:idx val="9"/>
          <c:order val="9"/>
          <c:tx>
            <c:strRef>
              <c:f>[2]Samples!$K$19</c:f>
              <c:strCache>
                <c:ptCount val="1"/>
                <c:pt idx="0">
                  <c:v>6:2 FTAB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[2]Samples!$A$23:$A$26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[2]Samples!$K$23:$K$26</c:f>
              <c:numCache>
                <c:formatCode>General</c:formatCode>
                <c:ptCount val="4"/>
                <c:pt idx="0">
                  <c:v>0.05</c:v>
                </c:pt>
                <c:pt idx="1">
                  <c:v>0.58247046544063996</c:v>
                </c:pt>
                <c:pt idx="2">
                  <c:v>0.10456822982278335</c:v>
                </c:pt>
                <c:pt idx="3">
                  <c:v>6.6203730948037443E-2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F4F-43A4-A496-F86A2D8F3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5772480"/>
        <c:axId val="1955779200"/>
      </c:scatterChart>
      <c:scatterChart>
        <c:scatterStyle val="lineMarker"/>
        <c:varyColors val="0"/>
        <c:ser>
          <c:idx val="10"/>
          <c:order val="1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[2]Samples!$A$37:$A$40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[2]Samples!$L$37:$L$40</c:f>
              <c:numCache>
                <c:formatCode>General</c:formatCode>
                <c:ptCount val="4"/>
                <c:pt idx="0">
                  <c:v>5.9999999999999995E-4</c:v>
                </c:pt>
                <c:pt idx="1">
                  <c:v>1.5900000000000001E-2</c:v>
                </c:pt>
                <c:pt idx="2">
                  <c:v>3.1899999999999998E-2</c:v>
                </c:pt>
                <c:pt idx="3">
                  <c:v>1.5700000000000002E-2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F4F-43A4-A496-F86A2D8F3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902591"/>
        <c:axId val="1184901151"/>
      </c:scatterChart>
      <c:valAx>
        <c:axId val="1955772480"/>
        <c:scaling>
          <c:orientation val="minMax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port</a:t>
                </a:r>
              </a:p>
            </c:rich>
          </c:tx>
          <c:layout>
            <c:manualLayout>
              <c:xMode val="edge"/>
              <c:yMode val="edge"/>
              <c:x val="0.46198920078390587"/>
              <c:y val="3.365464277100938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5779200"/>
        <c:crosses val="autoZero"/>
        <c:crossBetween val="midCat"/>
        <c:majorUnit val="1"/>
      </c:valAx>
      <c:valAx>
        <c:axId val="1955779200"/>
        <c:scaling>
          <c:orientation val="maxMin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total concentration</a:t>
                </a:r>
                <a:r>
                  <a:rPr lang="it-IT" sz="1100" baseline="0"/>
                  <a:t> </a:t>
                </a:r>
                <a:r>
                  <a:rPr lang="it-IT" sz="1100"/>
                  <a:t>(ng/g)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5772480"/>
        <c:crosses val="autoZero"/>
        <c:crossBetween val="midCat"/>
        <c:majorUnit val="1"/>
      </c:valAx>
      <c:valAx>
        <c:axId val="1184901151"/>
        <c:scaling>
          <c:orientation val="maxMin"/>
          <c:max val="0.1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water content</a:t>
                </a:r>
              </a:p>
            </c:rich>
          </c:tx>
          <c:layout>
            <c:manualLayout>
              <c:xMode val="edge"/>
              <c:yMode val="edge"/>
              <c:x val="0.92107913989217471"/>
              <c:y val="0.404496168970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4902591"/>
        <c:crosses val="max"/>
        <c:crossBetween val="midCat"/>
      </c:valAx>
      <c:valAx>
        <c:axId val="118490259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184901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1 - SHORT CHAIN PFAS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340327462806386"/>
          <c:y val="0.16192386491763605"/>
          <c:w val="0.85649753593858313"/>
          <c:h val="0.596747036823144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[1]ex.2!$P$55</c:f>
              <c:strCache>
                <c:ptCount val="1"/>
                <c:pt idx="0">
                  <c:v>PFPeA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[1]ex.2!$O$56:$O$61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[1]ex.2!$P$56:$P$61</c:f>
              <c:numCache>
                <c:formatCode>General</c:formatCode>
                <c:ptCount val="6"/>
                <c:pt idx="0">
                  <c:v>1.14183105832528</c:v>
                </c:pt>
                <c:pt idx="1">
                  <c:v>0.69266915186875744</c:v>
                </c:pt>
                <c:pt idx="2">
                  <c:v>0.44143532305702948</c:v>
                </c:pt>
                <c:pt idx="3">
                  <c:v>0.29305259469088574</c:v>
                </c:pt>
                <c:pt idx="4">
                  <c:v>0.30822799295595293</c:v>
                </c:pt>
                <c:pt idx="5">
                  <c:v>0.32212728590260176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60-411F-9E62-AE4E883E6798}"/>
            </c:ext>
          </c:extLst>
        </c:ser>
        <c:ser>
          <c:idx val="2"/>
          <c:order val="1"/>
          <c:tx>
            <c:strRef>
              <c:f>[1]ex.2!$Q$55</c:f>
              <c:strCache>
                <c:ptCount val="1"/>
                <c:pt idx="0">
                  <c:v>PFBS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[1]ex.2!$O$56:$O$61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[1]ex.2!$Q$56:$Q$61</c:f>
              <c:numCache>
                <c:formatCode>General</c:formatCode>
                <c:ptCount val="6"/>
                <c:pt idx="0">
                  <c:v>1.1376541789317129</c:v>
                </c:pt>
                <c:pt idx="1">
                  <c:v>0.71050941302951509</c:v>
                </c:pt>
                <c:pt idx="2">
                  <c:v>0.48410037816987755</c:v>
                </c:pt>
                <c:pt idx="3">
                  <c:v>0.33110301265031478</c:v>
                </c:pt>
                <c:pt idx="4">
                  <c:v>0.36358577861433883</c:v>
                </c:pt>
                <c:pt idx="5">
                  <c:v>0.36729878168160224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60-411F-9E62-AE4E883E6798}"/>
            </c:ext>
          </c:extLst>
        </c:ser>
        <c:ser>
          <c:idx val="3"/>
          <c:order val="2"/>
          <c:tx>
            <c:strRef>
              <c:f>[1]ex.2!$R$55</c:f>
              <c:strCache>
                <c:ptCount val="1"/>
                <c:pt idx="0">
                  <c:v>PFHxA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[1]ex.2!$O$56:$O$61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[1]ex.2!$R$56:$R$61</c:f>
              <c:numCache>
                <c:formatCode>General</c:formatCode>
                <c:ptCount val="6"/>
                <c:pt idx="0">
                  <c:v>1.1510017121636233</c:v>
                </c:pt>
                <c:pt idx="1">
                  <c:v>0.67392870636904434</c:v>
                </c:pt>
                <c:pt idx="2">
                  <c:v>0.45564429658894801</c:v>
                </c:pt>
                <c:pt idx="3">
                  <c:v>0.31780207660825943</c:v>
                </c:pt>
                <c:pt idx="4">
                  <c:v>0.3430363502889347</c:v>
                </c:pt>
                <c:pt idx="5">
                  <c:v>0.34617474961450784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60-411F-9E62-AE4E883E6798}"/>
            </c:ext>
          </c:extLst>
        </c:ser>
        <c:ser>
          <c:idx val="4"/>
          <c:order val="3"/>
          <c:tx>
            <c:strRef>
              <c:f>[1]ex.2!$S$55</c:f>
              <c:strCache>
                <c:ptCount val="1"/>
                <c:pt idx="0">
                  <c:v>PFHpA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[1]ex.2!$O$56:$O$61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[1]ex.2!$S$56:$S$61</c:f>
              <c:numCache>
                <c:formatCode>General</c:formatCode>
                <c:ptCount val="6"/>
                <c:pt idx="0">
                  <c:v>1.0471583158704005</c:v>
                </c:pt>
                <c:pt idx="1">
                  <c:v>0.63756841333315917</c:v>
                </c:pt>
                <c:pt idx="2">
                  <c:v>0.48176795167728126</c:v>
                </c:pt>
                <c:pt idx="3">
                  <c:v>0.36213675389113953</c:v>
                </c:pt>
                <c:pt idx="4">
                  <c:v>0.33604032118112248</c:v>
                </c:pt>
                <c:pt idx="5">
                  <c:v>0.30828871966068105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60-411F-9E62-AE4E883E6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64143"/>
        <c:axId val="1133860783"/>
      </c:barChart>
      <c:catAx>
        <c:axId val="11338641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</a:t>
                </a:r>
                <a:r>
                  <a:rPr lang="it-IT" baseline="0"/>
                  <a:t> (h)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60783"/>
        <c:crosses val="autoZero"/>
        <c:auto val="1"/>
        <c:lblAlgn val="ctr"/>
        <c:lblOffset val="100"/>
        <c:noMultiLvlLbl val="0"/>
      </c:catAx>
      <c:valAx>
        <c:axId val="1133860783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6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1 - LONG CHAIN PFAS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304181361691614E-2"/>
          <c:y val="0.16166505988783322"/>
          <c:w val="0.89657493549268275"/>
          <c:h val="0.610467732231594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[1]ex.2!$T$55</c:f>
              <c:strCache>
                <c:ptCount val="1"/>
                <c:pt idx="0">
                  <c:v>PFHxS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[1]ex.2!$T$56:$T$61</c:f>
              <c:numCache>
                <c:formatCode>General</c:formatCode>
                <c:ptCount val="6"/>
                <c:pt idx="0">
                  <c:v>0.91547755969829536</c:v>
                </c:pt>
                <c:pt idx="1">
                  <c:v>0.53841080675582231</c:v>
                </c:pt>
                <c:pt idx="2">
                  <c:v>0.38792470539715607</c:v>
                </c:pt>
                <c:pt idx="3">
                  <c:v>0.30028958095200847</c:v>
                </c:pt>
                <c:pt idx="4">
                  <c:v>0.24660422336664078</c:v>
                </c:pt>
                <c:pt idx="5">
                  <c:v>0.20497496164696721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F-4024-A1E5-E2658705456A}"/>
            </c:ext>
          </c:extLst>
        </c:ser>
        <c:ser>
          <c:idx val="2"/>
          <c:order val="1"/>
          <c:tx>
            <c:strRef>
              <c:f>[1]ex.2!$V$55</c:f>
              <c:strCache>
                <c:ptCount val="1"/>
                <c:pt idx="0">
                  <c:v>PFOA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[1]ex.2!$V$56:$V$61</c:f>
              <c:numCache>
                <c:formatCode>General</c:formatCode>
                <c:ptCount val="6"/>
                <c:pt idx="0">
                  <c:v>0.8495649630155877</c:v>
                </c:pt>
                <c:pt idx="1">
                  <c:v>0.4563684232521209</c:v>
                </c:pt>
                <c:pt idx="2">
                  <c:v>0.30833382088679007</c:v>
                </c:pt>
                <c:pt idx="3">
                  <c:v>0.28854862300973716</c:v>
                </c:pt>
                <c:pt idx="4">
                  <c:v>0.20790672405867358</c:v>
                </c:pt>
                <c:pt idx="5">
                  <c:v>0.1512557984036107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6F-4024-A1E5-E2658705456A}"/>
            </c:ext>
          </c:extLst>
        </c:ser>
        <c:ser>
          <c:idx val="3"/>
          <c:order val="2"/>
          <c:tx>
            <c:strRef>
              <c:f>[1]ex.2!$W$55</c:f>
              <c:strCache>
                <c:ptCount val="1"/>
                <c:pt idx="0">
                  <c:v>PFOS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[1]ex.2!$W$56:$W$61</c:f>
              <c:numCache>
                <c:formatCode>General</c:formatCode>
                <c:ptCount val="6"/>
                <c:pt idx="0">
                  <c:v>0.30818724200745362</c:v>
                </c:pt>
                <c:pt idx="1">
                  <c:v>7.5454986045423403E-2</c:v>
                </c:pt>
                <c:pt idx="2">
                  <c:v>6.4759262663569364E-2</c:v>
                </c:pt>
                <c:pt idx="3">
                  <c:v>0.23903270551665357</c:v>
                </c:pt>
                <c:pt idx="4">
                  <c:v>0.15212995303908952</c:v>
                </c:pt>
                <c:pt idx="5">
                  <c:v>8.051874258401992E-2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6F-4024-A1E5-E26587054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93423"/>
        <c:axId val="1133895343"/>
      </c:barChart>
      <c:catAx>
        <c:axId val="11338934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95343"/>
        <c:crosses val="autoZero"/>
        <c:auto val="1"/>
        <c:lblAlgn val="ctr"/>
        <c:lblOffset val="100"/>
        <c:noMultiLvlLbl val="0"/>
      </c:catAx>
      <c:valAx>
        <c:axId val="1133895343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93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1 - PRECURSORS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841973748729031"/>
          <c:y val="0.15612463110222546"/>
          <c:w val="0.86209227902429175"/>
          <c:h val="0.6027706774991581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[1]ex.2!$U$55</c:f>
              <c:strCache>
                <c:ptCount val="1"/>
                <c:pt idx="0">
                  <c:v>6.2 FTS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[1]ex.2!$O$56:$O$61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[1]ex.2!$U$56:$U$61</c:f>
              <c:numCache>
                <c:formatCode>General</c:formatCode>
                <c:ptCount val="6"/>
                <c:pt idx="0">
                  <c:v>0.77901480283617364</c:v>
                </c:pt>
                <c:pt idx="1">
                  <c:v>0.3433700524756626</c:v>
                </c:pt>
                <c:pt idx="2">
                  <c:v>0.23947146549460269</c:v>
                </c:pt>
                <c:pt idx="3">
                  <c:v>0.25874095267054592</c:v>
                </c:pt>
                <c:pt idx="4">
                  <c:v>0.17873975480642976</c:v>
                </c:pt>
                <c:pt idx="5">
                  <c:v>0.1349923751341838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F-44B5-8FE1-9B2B27A17F2F}"/>
            </c:ext>
          </c:extLst>
        </c:ser>
        <c:ser>
          <c:idx val="0"/>
          <c:order val="1"/>
          <c:tx>
            <c:strRef>
              <c:f>[1]ex.2!$X$55</c:f>
              <c:strCache>
                <c:ptCount val="1"/>
                <c:pt idx="0">
                  <c:v>PFOSA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[1]ex.2!$X$56:$X$61</c:f>
              <c:numCache>
                <c:formatCode>General</c:formatCode>
                <c:ptCount val="6"/>
                <c:pt idx="0">
                  <c:v>0.830991412958626</c:v>
                </c:pt>
                <c:pt idx="1">
                  <c:v>0.19442275999653047</c:v>
                </c:pt>
                <c:pt idx="2">
                  <c:v>0.11453725388151617</c:v>
                </c:pt>
                <c:pt idx="3">
                  <c:v>0.64983953508543668</c:v>
                </c:pt>
                <c:pt idx="4">
                  <c:v>0.26129759736317115</c:v>
                </c:pt>
                <c:pt idx="5">
                  <c:v>0.14415820973198021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F-44B5-8FE1-9B2B27A17F2F}"/>
            </c:ext>
          </c:extLst>
        </c:ser>
        <c:ser>
          <c:idx val="3"/>
          <c:order val="2"/>
          <c:tx>
            <c:strRef>
              <c:f>[1]ex.2!$Y$55</c:f>
              <c:strCache>
                <c:ptCount val="1"/>
                <c:pt idx="0">
                  <c:v>6:2 FTAB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[1]ex.2!$O$56:$O$61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[1]ex.2!$Y$56:$Y$61</c:f>
              <c:numCache>
                <c:formatCode>General</c:formatCode>
                <c:ptCount val="6"/>
                <c:pt idx="0">
                  <c:v>0.30420586607636968</c:v>
                </c:pt>
                <c:pt idx="1">
                  <c:v>0.14122855561704481</c:v>
                </c:pt>
                <c:pt idx="2">
                  <c:v>0.11001660210293304</c:v>
                </c:pt>
                <c:pt idx="3">
                  <c:v>0.30581073602656339</c:v>
                </c:pt>
                <c:pt idx="4">
                  <c:v>0.159988931931378</c:v>
                </c:pt>
                <c:pt idx="5">
                  <c:v>0.12562257885998895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1F-44B5-8FE1-9B2B27A17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773423"/>
        <c:axId val="1133777263"/>
      </c:barChart>
      <c:catAx>
        <c:axId val="11337734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777263"/>
        <c:crosses val="autoZero"/>
        <c:auto val="1"/>
        <c:lblAlgn val="ctr"/>
        <c:lblOffset val="100"/>
        <c:noMultiLvlLbl val="0"/>
      </c:catAx>
      <c:valAx>
        <c:axId val="1133777263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773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2 - SHORT CHAIN PFAS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610165867168055"/>
          <c:y val="0.15011633750848111"/>
          <c:w val="0.86353956007800714"/>
          <c:h val="0.626152340469741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[1]ex.2!$P$63</c:f>
              <c:strCache>
                <c:ptCount val="1"/>
                <c:pt idx="0">
                  <c:v>PFPeA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32-4B2A-83B4-9E7FB5AE827D}"/>
              </c:ext>
            </c:extLst>
          </c:dPt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[1]ex.2!$P$64:$P$69</c:f>
              <c:numCache>
                <c:formatCode>General</c:formatCode>
                <c:ptCount val="6"/>
                <c:pt idx="0">
                  <c:v>7.857657548750415E-4</c:v>
                </c:pt>
                <c:pt idx="1">
                  <c:v>1.343340244721549E-3</c:v>
                </c:pt>
                <c:pt idx="2">
                  <c:v>2.623520407158414E-3</c:v>
                </c:pt>
                <c:pt idx="3">
                  <c:v>5.857588276402103E-3</c:v>
                </c:pt>
                <c:pt idx="4">
                  <c:v>3.2980429203320456E-2</c:v>
                </c:pt>
                <c:pt idx="5">
                  <c:v>3.2456132606290607E-2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32-4B2A-83B4-9E7FB5AE827D}"/>
            </c:ext>
          </c:extLst>
        </c:ser>
        <c:ser>
          <c:idx val="1"/>
          <c:order val="1"/>
          <c:tx>
            <c:strRef>
              <c:f>[1]ex.2!$Q$63</c:f>
              <c:strCache>
                <c:ptCount val="1"/>
                <c:pt idx="0">
                  <c:v>PFBS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[1]ex.2!$Q$64:$Q$69</c:f>
              <c:numCache>
                <c:formatCode>General</c:formatCode>
                <c:ptCount val="6"/>
                <c:pt idx="0">
                  <c:v>1.2296531897135045E-3</c:v>
                </c:pt>
                <c:pt idx="1">
                  <c:v>2.1707844019523324E-3</c:v>
                </c:pt>
                <c:pt idx="2">
                  <c:v>6.4041574643039926E-3</c:v>
                </c:pt>
                <c:pt idx="3">
                  <c:v>1.5166295137374244E-2</c:v>
                </c:pt>
                <c:pt idx="4">
                  <c:v>7.3600582539611659E-2</c:v>
                </c:pt>
                <c:pt idx="5">
                  <c:v>6.3931661508763851E-2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32-4B2A-83B4-9E7FB5AE827D}"/>
            </c:ext>
          </c:extLst>
        </c:ser>
        <c:ser>
          <c:idx val="2"/>
          <c:order val="2"/>
          <c:tx>
            <c:strRef>
              <c:f>[1]ex.2!$R$63</c:f>
              <c:strCache>
                <c:ptCount val="1"/>
                <c:pt idx="0">
                  <c:v>PFHxA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[1]ex.2!$R$64:$R$69</c:f>
              <c:numCache>
                <c:formatCode>General</c:formatCode>
                <c:ptCount val="6"/>
                <c:pt idx="0">
                  <c:v>1.1425770501996388E-3</c:v>
                </c:pt>
                <c:pt idx="1">
                  <c:v>7.2208146449558109E-3</c:v>
                </c:pt>
                <c:pt idx="2">
                  <c:v>2.0199899925227579E-2</c:v>
                </c:pt>
                <c:pt idx="3">
                  <c:v>3.4922918597909323E-2</c:v>
                </c:pt>
                <c:pt idx="4">
                  <c:v>0.13335587474087782</c:v>
                </c:pt>
                <c:pt idx="5">
                  <c:v>0.11286777762523245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32-4B2A-83B4-9E7FB5AE827D}"/>
            </c:ext>
          </c:extLst>
        </c:ser>
        <c:ser>
          <c:idx val="3"/>
          <c:order val="3"/>
          <c:tx>
            <c:strRef>
              <c:f>[1]ex.2!$S$63</c:f>
              <c:strCache>
                <c:ptCount val="1"/>
                <c:pt idx="0">
                  <c:v>PFHpA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[1]ex.2!$S$64:$S$69</c:f>
              <c:numCache>
                <c:formatCode>General</c:formatCode>
                <c:ptCount val="6"/>
                <c:pt idx="0">
                  <c:v>1.6290443872609848E-3</c:v>
                </c:pt>
                <c:pt idx="1">
                  <c:v>0.22614606911402749</c:v>
                </c:pt>
                <c:pt idx="2">
                  <c:v>0.23544636376020017</c:v>
                </c:pt>
                <c:pt idx="3">
                  <c:v>0.13449972662657189</c:v>
                </c:pt>
                <c:pt idx="4">
                  <c:v>0.27407692149797441</c:v>
                </c:pt>
                <c:pt idx="5">
                  <c:v>0.177185168045352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32-4B2A-83B4-9E7FB5AE8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98703"/>
        <c:axId val="1133897263"/>
      </c:barChart>
      <c:catAx>
        <c:axId val="11338987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97263"/>
        <c:crosses val="autoZero"/>
        <c:auto val="1"/>
        <c:lblAlgn val="ctr"/>
        <c:lblOffset val="100"/>
        <c:noMultiLvlLbl val="0"/>
      </c:catAx>
      <c:valAx>
        <c:axId val="1133897263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98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2 - LONG CHAIN</a:t>
            </a:r>
            <a:r>
              <a:rPr lang="it-IT" baseline="0"/>
              <a:t> PFAS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813469695122813"/>
          <c:y val="0.14848374424796223"/>
          <c:w val="0.86245484484141188"/>
          <c:h val="0.64623147353668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[1]ex.2!$T$55</c:f>
              <c:strCache>
                <c:ptCount val="1"/>
                <c:pt idx="0">
                  <c:v>PFHxS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[1]ex.2!$T$64:$T$69</c:f>
              <c:numCache>
                <c:formatCode>General</c:formatCode>
                <c:ptCount val="6"/>
                <c:pt idx="0">
                  <c:v>1.8203247075303491E-3</c:v>
                </c:pt>
                <c:pt idx="1">
                  <c:v>0.25114436917038346</c:v>
                </c:pt>
                <c:pt idx="2">
                  <c:v>0.14115160425003154</c:v>
                </c:pt>
                <c:pt idx="3">
                  <c:v>7.8035755870280527E-2</c:v>
                </c:pt>
                <c:pt idx="4">
                  <c:v>9.9740994814563305E-2</c:v>
                </c:pt>
                <c:pt idx="5">
                  <c:v>6.4639303725799374E-2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9-4289-8845-BB88E67D69C1}"/>
            </c:ext>
          </c:extLst>
        </c:ser>
        <c:ser>
          <c:idx val="1"/>
          <c:order val="1"/>
          <c:tx>
            <c:strRef>
              <c:f>[1]ex.2!$V$55</c:f>
              <c:strCache>
                <c:ptCount val="1"/>
                <c:pt idx="0">
                  <c:v>PFOA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[1]ex.2!$V$64:$V$69</c:f>
              <c:numCache>
                <c:formatCode>General</c:formatCode>
                <c:ptCount val="6"/>
                <c:pt idx="0">
                  <c:v>2.4455681390781062E-3</c:v>
                </c:pt>
                <c:pt idx="1">
                  <c:v>0.19175895357098083</c:v>
                </c:pt>
                <c:pt idx="2">
                  <c:v>8.1536211291738062E-2</c:v>
                </c:pt>
                <c:pt idx="3">
                  <c:v>4.1949099419114885E-2</c:v>
                </c:pt>
                <c:pt idx="4">
                  <c:v>4.45802164737348E-2</c:v>
                </c:pt>
                <c:pt idx="5">
                  <c:v>2.9442099544485772E-2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9-4289-8845-BB88E67D69C1}"/>
            </c:ext>
          </c:extLst>
        </c:ser>
        <c:ser>
          <c:idx val="2"/>
          <c:order val="2"/>
          <c:tx>
            <c:strRef>
              <c:f>[1]ex.2!$W$55</c:f>
              <c:strCache>
                <c:ptCount val="1"/>
                <c:pt idx="0">
                  <c:v>PFOS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[1]ex.2!$W$64:$W$69</c:f>
              <c:numCache>
                <c:formatCode>General</c:formatCode>
                <c:ptCount val="6"/>
                <c:pt idx="0">
                  <c:v>3.3424135568293867E-3</c:v>
                </c:pt>
                <c:pt idx="1">
                  <c:v>3.7685712853251334E-2</c:v>
                </c:pt>
                <c:pt idx="2">
                  <c:v>9.7097113825893675E-3</c:v>
                </c:pt>
                <c:pt idx="3">
                  <c:v>9.3921820946905772E-3</c:v>
                </c:pt>
                <c:pt idx="4">
                  <c:v>5.047044470812374E-3</c:v>
                </c:pt>
                <c:pt idx="5">
                  <c:v>5.4815582332001945E-3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9-4289-8845-BB88E67D6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776303"/>
        <c:axId val="1133796943"/>
      </c:barChart>
      <c:catAx>
        <c:axId val="11337763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</a:t>
                </a:r>
                <a:r>
                  <a:rPr lang="it-IT" baseline="0"/>
                  <a:t> time (h)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796943"/>
        <c:crosses val="autoZero"/>
        <c:auto val="1"/>
        <c:lblAlgn val="ctr"/>
        <c:lblOffset val="100"/>
        <c:noMultiLvlLbl val="0"/>
      </c:catAx>
      <c:valAx>
        <c:axId val="1133796943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776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PORT 2 - PRECURSORS</a:t>
            </a:r>
          </a:p>
        </c:rich>
      </c:tx>
      <c:layout>
        <c:manualLayout>
          <c:xMode val="edge"/>
          <c:yMode val="edge"/>
          <c:x val="0.34680332714774442"/>
          <c:y val="4.19246202086227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242799292120805"/>
          <c:y val="0.14744094371118485"/>
          <c:w val="0.86900738447634418"/>
          <c:h val="0.62883988342273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[1]ex.2!$U$55</c:f>
              <c:strCache>
                <c:ptCount val="1"/>
                <c:pt idx="0">
                  <c:v>6.2 FTS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[1]ex.2!$U$64:$U$69</c:f>
              <c:numCache>
                <c:formatCode>General</c:formatCode>
                <c:ptCount val="6"/>
                <c:pt idx="0">
                  <c:v>1.4604727877523E-3</c:v>
                </c:pt>
                <c:pt idx="1">
                  <c:v>0.15301331932753751</c:v>
                </c:pt>
                <c:pt idx="2">
                  <c:v>6.347988740077308E-2</c:v>
                </c:pt>
                <c:pt idx="3">
                  <c:v>3.7631361925428347E-2</c:v>
                </c:pt>
                <c:pt idx="4">
                  <c:v>3.4178288252178037E-2</c:v>
                </c:pt>
                <c:pt idx="5">
                  <c:v>2.0854353544986708E-2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F-45CB-B517-4D66EFCCD7F3}"/>
            </c:ext>
          </c:extLst>
        </c:ser>
        <c:ser>
          <c:idx val="1"/>
          <c:order val="1"/>
          <c:tx>
            <c:strRef>
              <c:f>[1]ex.2!$X$55</c:f>
              <c:strCache>
                <c:ptCount val="1"/>
                <c:pt idx="0">
                  <c:v>PFOSA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[1]ex.2!$X$64:$X$69</c:f>
              <c:numCache>
                <c:formatCode>General</c:formatCode>
                <c:ptCount val="6"/>
                <c:pt idx="0">
                  <c:v>8.6737791655824448E-3</c:v>
                </c:pt>
                <c:pt idx="1">
                  <c:v>0.12876225171307137</c:v>
                </c:pt>
                <c:pt idx="2">
                  <c:v>3.0618440454506027E-2</c:v>
                </c:pt>
                <c:pt idx="3">
                  <c:v>1.7651140601960272E-2</c:v>
                </c:pt>
                <c:pt idx="4">
                  <c:v>8.9773614363778294E-3</c:v>
                </c:pt>
                <c:pt idx="5">
                  <c:v>9.454419290484864E-3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3F-45CB-B517-4D66EFCCD7F3}"/>
            </c:ext>
          </c:extLst>
        </c:ser>
        <c:ser>
          <c:idx val="2"/>
          <c:order val="2"/>
          <c:tx>
            <c:strRef>
              <c:f>[1]ex.2!$Y$55</c:f>
              <c:strCache>
                <c:ptCount val="1"/>
                <c:pt idx="0">
                  <c:v>6:2 FTAB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[1]ex.2!$O$64:$O$69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[1]ex.2!$Y$64:$Y$69</c:f>
              <c:numCache>
                <c:formatCode>General</c:formatCode>
                <c:ptCount val="6"/>
                <c:pt idx="0">
                  <c:v>1.1068068622025458E-2</c:v>
                </c:pt>
                <c:pt idx="1">
                  <c:v>5.6281128942999449E-2</c:v>
                </c:pt>
                <c:pt idx="2">
                  <c:v>2.4460431654676262E-2</c:v>
                </c:pt>
                <c:pt idx="3">
                  <c:v>1.6989485334809078E-2</c:v>
                </c:pt>
                <c:pt idx="4">
                  <c:v>2.0309905921416717E-2</c:v>
                </c:pt>
                <c:pt idx="5">
                  <c:v>1.8649695628112896E-2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3F-45CB-B517-4D66EFCCD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6154463"/>
        <c:axId val="1086149183"/>
      </c:barChart>
      <c:catAx>
        <c:axId val="10861544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149183"/>
        <c:crosses val="autoZero"/>
        <c:auto val="1"/>
        <c:lblAlgn val="ctr"/>
        <c:lblOffset val="100"/>
        <c:noMultiLvlLbl val="0"/>
      </c:catAx>
      <c:valAx>
        <c:axId val="1086149183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1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3 - SHORT CHAIN PFAS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7799453656293681E-2"/>
          <c:y val="0.15151660386753446"/>
          <c:w val="0.872681589129924"/>
          <c:h val="0.622665136413610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[1]ex.2!$P$55</c:f>
              <c:strCache>
                <c:ptCount val="1"/>
                <c:pt idx="0">
                  <c:v>PFPeA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[1]ex.2!$P$72:$P$77</c:f>
              <c:numCache>
                <c:formatCode>General</c:formatCode>
                <c:ptCount val="6"/>
                <c:pt idx="0">
                  <c:v>8.2651419505870832E-4</c:v>
                </c:pt>
                <c:pt idx="1">
                  <c:v>8.2787247639816387E-4</c:v>
                </c:pt>
                <c:pt idx="2">
                  <c:v>7.9051973956313594E-4</c:v>
                </c:pt>
                <c:pt idx="3">
                  <c:v>8.0274427161823602E-4</c:v>
                </c:pt>
                <c:pt idx="4">
                  <c:v>1.1429937471518538E-3</c:v>
                </c:pt>
                <c:pt idx="5">
                  <c:v>1.36439360548311E-3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7-40D0-B54E-03AA62A200A9}"/>
            </c:ext>
          </c:extLst>
        </c:ser>
        <c:ser>
          <c:idx val="1"/>
          <c:order val="1"/>
          <c:tx>
            <c:strRef>
              <c:f>[1]ex.2!$Q$55</c:f>
              <c:strCache>
                <c:ptCount val="1"/>
                <c:pt idx="0">
                  <c:v>PFBS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[1]ex.2!$Q$72:$Q$77</c:f>
              <c:numCache>
                <c:formatCode>General</c:formatCode>
                <c:ptCount val="6"/>
                <c:pt idx="0">
                  <c:v>1.0063921357152425E-3</c:v>
                </c:pt>
                <c:pt idx="1">
                  <c:v>1.1077183063759922E-3</c:v>
                </c:pt>
                <c:pt idx="2">
                  <c:v>1.3052184695283009E-3</c:v>
                </c:pt>
                <c:pt idx="3">
                  <c:v>9.9780517209992464E-4</c:v>
                </c:pt>
                <c:pt idx="4">
                  <c:v>3.1239373632526045E-3</c:v>
                </c:pt>
                <c:pt idx="5">
                  <c:v>5.3943305431426222E-3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7-40D0-B54E-03AA62A200A9}"/>
            </c:ext>
          </c:extLst>
        </c:ser>
        <c:ser>
          <c:idx val="2"/>
          <c:order val="2"/>
          <c:tx>
            <c:strRef>
              <c:f>[1]ex.2!$R$55</c:f>
              <c:strCache>
                <c:ptCount val="1"/>
                <c:pt idx="0">
                  <c:v>PFHxA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[1]ex.2!$R$72:$R$77</c:f>
              <c:numCache>
                <c:formatCode>General</c:formatCode>
                <c:ptCount val="6"/>
                <c:pt idx="0">
                  <c:v>9.4401599380943349E-4</c:v>
                </c:pt>
                <c:pt idx="1">
                  <c:v>1.4001391062029339E-3</c:v>
                </c:pt>
                <c:pt idx="2">
                  <c:v>1.7915880459436245E-3</c:v>
                </c:pt>
                <c:pt idx="3">
                  <c:v>2.3793287728586326E-3</c:v>
                </c:pt>
                <c:pt idx="4">
                  <c:v>9.9371298963738218E-3</c:v>
                </c:pt>
                <c:pt idx="5">
                  <c:v>1.6858401004832407E-2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97-40D0-B54E-03AA62A200A9}"/>
            </c:ext>
          </c:extLst>
        </c:ser>
        <c:ser>
          <c:idx val="3"/>
          <c:order val="3"/>
          <c:tx>
            <c:strRef>
              <c:f>[1]ex.2!$S$55</c:f>
              <c:strCache>
                <c:ptCount val="1"/>
                <c:pt idx="0">
                  <c:v>PFHpA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[1]ex.2!$S$72:$S$77</c:f>
              <c:numCache>
                <c:formatCode>General</c:formatCode>
                <c:ptCount val="6"/>
                <c:pt idx="0">
                  <c:v>1.1345463773822209E-3</c:v>
                </c:pt>
                <c:pt idx="1">
                  <c:v>6.5880197127433066E-2</c:v>
                </c:pt>
                <c:pt idx="2">
                  <c:v>7.159024961886333E-2</c:v>
                </c:pt>
                <c:pt idx="3">
                  <c:v>9.3986344390806442E-2</c:v>
                </c:pt>
                <c:pt idx="4">
                  <c:v>0.12526660906853368</c:v>
                </c:pt>
                <c:pt idx="5">
                  <c:v>0.15887381343803006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97-40D0-B54E-03AA62A20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6058463"/>
        <c:axId val="1086055103"/>
      </c:barChart>
      <c:catAx>
        <c:axId val="10860584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55103"/>
        <c:crosses val="autoZero"/>
        <c:auto val="1"/>
        <c:lblAlgn val="ctr"/>
        <c:lblOffset val="100"/>
        <c:noMultiLvlLbl val="0"/>
      </c:catAx>
      <c:valAx>
        <c:axId val="1086055103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58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3 - LONG CHAIN PFAS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967613812265752E-2"/>
          <c:y val="0.15252392723297636"/>
          <c:w val="0.87104193561707211"/>
          <c:h val="0.6119319811858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[1]ex.2!$T$55</c:f>
              <c:strCache>
                <c:ptCount val="1"/>
                <c:pt idx="0">
                  <c:v>PFHxS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[1]ex.2!$T$72:$T$77</c:f>
              <c:numCache>
                <c:formatCode>General</c:formatCode>
                <c:ptCount val="6"/>
                <c:pt idx="0">
                  <c:v>1.1359252813592706E-3</c:v>
                </c:pt>
                <c:pt idx="1">
                  <c:v>0.1956386868774854</c:v>
                </c:pt>
                <c:pt idx="2">
                  <c:v>9.8023774436170413E-2</c:v>
                </c:pt>
                <c:pt idx="3">
                  <c:v>8.5788134824909296E-2</c:v>
                </c:pt>
                <c:pt idx="4">
                  <c:v>6.9613198776258267E-2</c:v>
                </c:pt>
                <c:pt idx="5">
                  <c:v>8.1228434751847434E-2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1-4CC8-9D5B-0B7E997D0A03}"/>
            </c:ext>
          </c:extLst>
        </c:ser>
        <c:ser>
          <c:idx val="1"/>
          <c:order val="1"/>
          <c:tx>
            <c:strRef>
              <c:f>[1]ex.2!$V$55</c:f>
              <c:strCache>
                <c:ptCount val="1"/>
                <c:pt idx="0">
                  <c:v>PFOA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[1]ex.2!$V$72:$V$77</c:f>
              <c:numCache>
                <c:formatCode>General</c:formatCode>
                <c:ptCount val="6"/>
                <c:pt idx="0">
                  <c:v>1.4325713569309207E-3</c:v>
                </c:pt>
                <c:pt idx="1">
                  <c:v>0.18654686781729285</c:v>
                </c:pt>
                <c:pt idx="2">
                  <c:v>6.7845710226085501E-2</c:v>
                </c:pt>
                <c:pt idx="3">
                  <c:v>5.4598186301140876E-2</c:v>
                </c:pt>
                <c:pt idx="4">
                  <c:v>3.3774917464164826E-2</c:v>
                </c:pt>
                <c:pt idx="5">
                  <c:v>4.2905261398303314E-2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71-4CC8-9D5B-0B7E997D0A03}"/>
            </c:ext>
          </c:extLst>
        </c:ser>
        <c:ser>
          <c:idx val="2"/>
          <c:order val="2"/>
          <c:tx>
            <c:strRef>
              <c:f>[1]ex.2!$W$55</c:f>
              <c:strCache>
                <c:ptCount val="1"/>
                <c:pt idx="0">
                  <c:v>PFOS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[1]ex.2!$W$72:$W$77</c:f>
              <c:numCache>
                <c:formatCode>General</c:formatCode>
                <c:ptCount val="6"/>
                <c:pt idx="0">
                  <c:v>3.3424135568293867E-3</c:v>
                </c:pt>
                <c:pt idx="1">
                  <c:v>5.1272623961762791E-2</c:v>
                </c:pt>
                <c:pt idx="2">
                  <c:v>3.3424135568293867E-3</c:v>
                </c:pt>
                <c:pt idx="3">
                  <c:v>3.3424135568293867E-3</c:v>
                </c:pt>
                <c:pt idx="4">
                  <c:v>3.3424135568293867E-3</c:v>
                </c:pt>
                <c:pt idx="5">
                  <c:v>3.3424135568293867E-3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71-4CC8-9D5B-0B7E997D0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6092063"/>
        <c:axId val="1086096863"/>
      </c:barChart>
      <c:catAx>
        <c:axId val="10860920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</a:t>
                </a:r>
                <a:r>
                  <a:rPr lang="it-IT" baseline="0"/>
                  <a:t> time (h)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96863"/>
        <c:crosses val="autoZero"/>
        <c:auto val="1"/>
        <c:lblAlgn val="ctr"/>
        <c:lblOffset val="100"/>
        <c:noMultiLvlLbl val="0"/>
      </c:catAx>
      <c:valAx>
        <c:axId val="1086096863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layout>
            <c:manualLayout>
              <c:xMode val="edge"/>
              <c:yMode val="edge"/>
              <c:x val="1.9319228630357961E-2"/>
              <c:y val="0.291482396777027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92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3</a:t>
            </a:r>
            <a:r>
              <a:rPr lang="it-IT" baseline="0"/>
              <a:t> - PRECURSORS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350285289214307"/>
          <c:y val="0.14815778568366966"/>
          <c:w val="0.86298362158488151"/>
          <c:h val="0.620806280292240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[1]ex.2!$U$71</c:f>
              <c:strCache>
                <c:ptCount val="1"/>
                <c:pt idx="0">
                  <c:v>6.2 FTS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[1]ex.2!$U$72:$U$77</c:f>
              <c:numCache>
                <c:formatCode>General</c:formatCode>
                <c:ptCount val="6"/>
                <c:pt idx="0">
                  <c:v>9.5138053839384853E-4</c:v>
                </c:pt>
                <c:pt idx="1">
                  <c:v>0.15330587460205572</c:v>
                </c:pt>
                <c:pt idx="2">
                  <c:v>5.6258148931366991E-2</c:v>
                </c:pt>
                <c:pt idx="3">
                  <c:v>4.2521872538043702E-2</c:v>
                </c:pt>
                <c:pt idx="4">
                  <c:v>2.609270546824969E-2</c:v>
                </c:pt>
                <c:pt idx="5">
                  <c:v>3.2215633969583463E-2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57-436B-BB05-4F8AA478F09F}"/>
            </c:ext>
          </c:extLst>
        </c:ser>
        <c:ser>
          <c:idx val="1"/>
          <c:order val="1"/>
          <c:tx>
            <c:strRef>
              <c:f>[1]ex.2!$X$71</c:f>
              <c:strCache>
                <c:ptCount val="1"/>
                <c:pt idx="0">
                  <c:v>PFOSA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[1]ex.2!$X$72:$X$77</c:f>
              <c:numCache>
                <c:formatCode>General</c:formatCode>
                <c:ptCount val="6"/>
                <c:pt idx="0">
                  <c:v>8.6737791655824448E-3</c:v>
                </c:pt>
                <c:pt idx="1">
                  <c:v>0.14233671610720791</c:v>
                </c:pt>
                <c:pt idx="2">
                  <c:v>1.3357619914996965E-2</c:v>
                </c:pt>
                <c:pt idx="3">
                  <c:v>1.7043976060369503E-2</c:v>
                </c:pt>
                <c:pt idx="4">
                  <c:v>8.6737791655824448E-3</c:v>
                </c:pt>
                <c:pt idx="5">
                  <c:v>1.0061583832075635E-2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57-436B-BB05-4F8AA478F09F}"/>
            </c:ext>
          </c:extLst>
        </c:ser>
        <c:ser>
          <c:idx val="2"/>
          <c:order val="2"/>
          <c:tx>
            <c:strRef>
              <c:f>[1]ex.2!$Y$71</c:f>
              <c:strCache>
                <c:ptCount val="1"/>
                <c:pt idx="0">
                  <c:v>6:2 FTAB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[1]ex.2!$O$72:$O$77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[1]ex.2!$Y$72:$Y$77</c:f>
              <c:numCache>
                <c:formatCode>General</c:formatCode>
                <c:ptCount val="6"/>
                <c:pt idx="0">
                  <c:v>1.1068068622025458E-2</c:v>
                </c:pt>
                <c:pt idx="1">
                  <c:v>6.568898727172108E-2</c:v>
                </c:pt>
                <c:pt idx="2">
                  <c:v>1.1068068622025458E-2</c:v>
                </c:pt>
                <c:pt idx="3">
                  <c:v>1.6823464305478694E-2</c:v>
                </c:pt>
                <c:pt idx="4">
                  <c:v>1.1068068622025458E-2</c:v>
                </c:pt>
                <c:pt idx="5">
                  <c:v>1.7100166021029331E-2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57-436B-BB05-4F8AA478F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6073343"/>
        <c:axId val="1086074303"/>
      </c:barChart>
      <c:catAx>
        <c:axId val="1086073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74303"/>
        <c:crosses val="autoZero"/>
        <c:auto val="1"/>
        <c:lblAlgn val="ctr"/>
        <c:lblOffset val="100"/>
        <c:noMultiLvlLbl val="0"/>
      </c:catAx>
      <c:valAx>
        <c:axId val="1086074303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73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4 - PRECURSORS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1397462305831531E-2"/>
          <c:y val="0.14791132787440681"/>
          <c:w val="0.88819339431560163"/>
          <c:h val="0.62765576294396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[1]ex.1!$S$82</c:f>
              <c:strCache>
                <c:ptCount val="1"/>
                <c:pt idx="0">
                  <c:v>6.2 FTS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[1]ex.1!$S$83:$S$88</c:f>
              <c:numCache>
                <c:formatCode>General</c:formatCode>
                <c:ptCount val="6"/>
                <c:pt idx="0">
                  <c:v>0</c:v>
                </c:pt>
                <c:pt idx="1">
                  <c:v>0.37906640313656109</c:v>
                </c:pt>
                <c:pt idx="2">
                  <c:v>0.61650610680340734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5-48FB-B830-7464827AC1E5}"/>
            </c:ext>
          </c:extLst>
        </c:ser>
        <c:ser>
          <c:idx val="2"/>
          <c:order val="1"/>
          <c:tx>
            <c:strRef>
              <c:f>[1]ex.1!$W$82</c:f>
              <c:strCache>
                <c:ptCount val="1"/>
                <c:pt idx="0">
                  <c:v>6:2 FTAB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[1]ex.1!$W$83:$W$88</c:f>
              <c:numCache>
                <c:formatCode>General</c:formatCode>
                <c:ptCount val="6"/>
                <c:pt idx="0">
                  <c:v>0</c:v>
                </c:pt>
                <c:pt idx="1">
                  <c:v>0.18262313226342006</c:v>
                </c:pt>
                <c:pt idx="2">
                  <c:v>0.26452684006640842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B5-48FB-B830-7464827AC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794543"/>
        <c:axId val="1133799343"/>
      </c:barChart>
      <c:catAx>
        <c:axId val="11337945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799343"/>
        <c:crosses val="autoZero"/>
        <c:auto val="1"/>
        <c:lblAlgn val="ctr"/>
        <c:lblOffset val="100"/>
        <c:noMultiLvlLbl val="0"/>
      </c:catAx>
      <c:valAx>
        <c:axId val="1133799343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79454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latin typeface="Times New Roman" panose="02020603050405020304" pitchFamily="18" charset="0"/>
                <a:cs typeface="Times New Roman" panose="02020603050405020304" pitchFamily="18" charset="0"/>
              </a:rPr>
              <a:t>After sparging for 48h</a:t>
            </a:r>
          </a:p>
        </c:rich>
      </c:tx>
      <c:layout>
        <c:manualLayout>
          <c:xMode val="edge"/>
          <c:yMode val="edge"/>
          <c:x val="0.92874757834428101"/>
          <c:y val="0.30635364380953062"/>
        </c:manualLayout>
      </c:layout>
      <c:overlay val="0"/>
      <c:spPr>
        <a:noFill/>
        <a:ln>
          <a:noFill/>
        </a:ln>
        <a:effectLst/>
      </c:spPr>
      <c:txPr>
        <a:bodyPr rot="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598680900901257"/>
          <c:y val="0.1417385354142312"/>
          <c:w val="0.79564399450178136"/>
          <c:h val="0.76903731406631315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[1]ex.2!$D$79</c:f>
              <c:strCache>
                <c:ptCount val="1"/>
                <c:pt idx="0">
                  <c:v>PFPeA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[1]ex.2!$D$80:$D$82</c:f>
              <c:numCache>
                <c:formatCode>General</c:formatCode>
                <c:ptCount val="3"/>
                <c:pt idx="0">
                  <c:v>0.44143532305702948</c:v>
                </c:pt>
                <c:pt idx="1">
                  <c:v>2.623520407158414E-3</c:v>
                </c:pt>
                <c:pt idx="2">
                  <c:v>7.9051973956313594E-4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E6-4164-9CE0-AC4B29225FCF}"/>
            </c:ext>
          </c:extLst>
        </c:ser>
        <c:ser>
          <c:idx val="1"/>
          <c:order val="1"/>
          <c:tx>
            <c:strRef>
              <c:f>[1]ex.2!$E$79</c:f>
              <c:strCache>
                <c:ptCount val="1"/>
                <c:pt idx="0">
                  <c:v>PFBS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[1]ex.2!$E$80:$E$82</c:f>
              <c:numCache>
                <c:formatCode>General</c:formatCode>
                <c:ptCount val="3"/>
                <c:pt idx="0">
                  <c:v>0.48410037816987755</c:v>
                </c:pt>
                <c:pt idx="1">
                  <c:v>6.4041574643039926E-3</c:v>
                </c:pt>
                <c:pt idx="2">
                  <c:v>1.3052184695283009E-3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E6-4164-9CE0-AC4B29225FCF}"/>
            </c:ext>
          </c:extLst>
        </c:ser>
        <c:ser>
          <c:idx val="2"/>
          <c:order val="2"/>
          <c:tx>
            <c:strRef>
              <c:f>[1]ex.2!$F$79</c:f>
              <c:strCache>
                <c:ptCount val="1"/>
                <c:pt idx="0">
                  <c:v>PFHxA</c:v>
                </c:pt>
              </c:strCache>
            </c:strRef>
          </c:tx>
          <c:spPr>
            <a:ln w="28575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[1]ex.2!$F$80:$F$82</c:f>
              <c:numCache>
                <c:formatCode>General</c:formatCode>
                <c:ptCount val="3"/>
                <c:pt idx="0">
                  <c:v>0.45564429658894801</c:v>
                </c:pt>
                <c:pt idx="1">
                  <c:v>2.0199899925227579E-2</c:v>
                </c:pt>
                <c:pt idx="2">
                  <c:v>1.7915880459436245E-3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E6-4164-9CE0-AC4B29225FCF}"/>
            </c:ext>
          </c:extLst>
        </c:ser>
        <c:ser>
          <c:idx val="3"/>
          <c:order val="3"/>
          <c:tx>
            <c:strRef>
              <c:f>[1]ex.2!$G$79</c:f>
              <c:strCache>
                <c:ptCount val="1"/>
                <c:pt idx="0">
                  <c:v>PFHpA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[1]ex.2!$G$80:$G$82</c:f>
              <c:numCache>
                <c:formatCode>General</c:formatCode>
                <c:ptCount val="3"/>
                <c:pt idx="0">
                  <c:v>0.48176795167728126</c:v>
                </c:pt>
                <c:pt idx="1">
                  <c:v>0.23544636376020017</c:v>
                </c:pt>
                <c:pt idx="2">
                  <c:v>7.159024961886333E-2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9E6-4164-9CE0-AC4B29225FCF}"/>
            </c:ext>
          </c:extLst>
        </c:ser>
        <c:ser>
          <c:idx val="4"/>
          <c:order val="4"/>
          <c:tx>
            <c:strRef>
              <c:f>[1]ex.2!$H$79</c:f>
              <c:strCache>
                <c:ptCount val="1"/>
                <c:pt idx="0">
                  <c:v>PFHxS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yVal>
            <c:numRef>
              <c:f>[1]ex.2!$H$80:$H$82</c:f>
              <c:numCache>
                <c:formatCode>General</c:formatCode>
                <c:ptCount val="3"/>
                <c:pt idx="0">
                  <c:v>0.38792470539715607</c:v>
                </c:pt>
                <c:pt idx="1">
                  <c:v>0.14115160425003154</c:v>
                </c:pt>
                <c:pt idx="2">
                  <c:v>9.8023774436170413E-2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9E6-4164-9CE0-AC4B29225FCF}"/>
            </c:ext>
          </c:extLst>
        </c:ser>
        <c:ser>
          <c:idx val="5"/>
          <c:order val="5"/>
          <c:tx>
            <c:strRef>
              <c:f>[1]ex.2!$I$79</c:f>
              <c:strCache>
                <c:ptCount val="1"/>
                <c:pt idx="0">
                  <c:v>6.2 FTS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[1]ex.2!$I$80:$I$82</c:f>
              <c:numCache>
                <c:formatCode>General</c:formatCode>
                <c:ptCount val="3"/>
                <c:pt idx="0">
                  <c:v>0.23947146549460269</c:v>
                </c:pt>
                <c:pt idx="1">
                  <c:v>6.347988740077308E-2</c:v>
                </c:pt>
                <c:pt idx="2">
                  <c:v>5.6258148931366991E-2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9E6-4164-9CE0-AC4B29225FCF}"/>
            </c:ext>
          </c:extLst>
        </c:ser>
        <c:ser>
          <c:idx val="6"/>
          <c:order val="6"/>
          <c:tx>
            <c:strRef>
              <c:f>[1]ex.2!$J$79</c:f>
              <c:strCache>
                <c:ptCount val="1"/>
                <c:pt idx="0">
                  <c:v>PFOA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yVal>
            <c:numRef>
              <c:f>[1]ex.2!$J$80:$J$82</c:f>
              <c:numCache>
                <c:formatCode>General</c:formatCode>
                <c:ptCount val="3"/>
                <c:pt idx="0">
                  <c:v>0.30833382088679007</c:v>
                </c:pt>
                <c:pt idx="1">
                  <c:v>8.1536211291738062E-2</c:v>
                </c:pt>
                <c:pt idx="2">
                  <c:v>6.7845710226085501E-2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9E6-4164-9CE0-AC4B29225FCF}"/>
            </c:ext>
          </c:extLst>
        </c:ser>
        <c:ser>
          <c:idx val="7"/>
          <c:order val="7"/>
          <c:tx>
            <c:strRef>
              <c:f>[1]ex.2!$K$79</c:f>
              <c:strCache>
                <c:ptCount val="1"/>
                <c:pt idx="0">
                  <c:v>PFOS</c:v>
                </c:pt>
              </c:strCache>
            </c:strRef>
          </c:tx>
          <c:spPr>
            <a:ln w="28575" cap="rnd">
              <a:solidFill>
                <a:srgbClr val="FF9999"/>
              </a:solidFill>
              <a:round/>
            </a:ln>
            <a:effectLst/>
          </c:spPr>
          <c:marker>
            <c:symbol val="none"/>
          </c:marker>
          <c:yVal>
            <c:numRef>
              <c:f>[1]ex.2!$K$80:$K$82</c:f>
              <c:numCache>
                <c:formatCode>General</c:formatCode>
                <c:ptCount val="3"/>
                <c:pt idx="0">
                  <c:v>6.4759262663569364E-2</c:v>
                </c:pt>
                <c:pt idx="1">
                  <c:v>9.7097113825893675E-3</c:v>
                </c:pt>
                <c:pt idx="2">
                  <c:v>3.3424135568293867E-3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9E6-4164-9CE0-AC4B29225FCF}"/>
            </c:ext>
          </c:extLst>
        </c:ser>
        <c:ser>
          <c:idx val="8"/>
          <c:order val="8"/>
          <c:tx>
            <c:strRef>
              <c:f>[1]ex.2!$L$79</c:f>
              <c:strCache>
                <c:ptCount val="1"/>
                <c:pt idx="0">
                  <c:v>PFOSA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[1]ex.2!$L$80:$L$82</c:f>
              <c:numCache>
                <c:formatCode>General</c:formatCode>
                <c:ptCount val="3"/>
                <c:pt idx="0">
                  <c:v>0.11453725388151617</c:v>
                </c:pt>
                <c:pt idx="1">
                  <c:v>3.0618440454506027E-2</c:v>
                </c:pt>
                <c:pt idx="2">
                  <c:v>1.3357619914996965E-2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9E6-4164-9CE0-AC4B29225FCF}"/>
            </c:ext>
          </c:extLst>
        </c:ser>
        <c:ser>
          <c:idx val="9"/>
          <c:order val="9"/>
          <c:tx>
            <c:strRef>
              <c:f>[1]ex.2!$M$79</c:f>
              <c:strCache>
                <c:ptCount val="1"/>
                <c:pt idx="0">
                  <c:v>6:2 FTAB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[1]ex.2!$M$80:$M$82</c:f>
              <c:numCache>
                <c:formatCode>General</c:formatCode>
                <c:ptCount val="3"/>
                <c:pt idx="0">
                  <c:v>0.11001660210293304</c:v>
                </c:pt>
                <c:pt idx="1">
                  <c:v>2.4460431654676262E-2</c:v>
                </c:pt>
                <c:pt idx="2">
                  <c:v>1.1068068622025458E-2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9E6-4164-9CE0-AC4B29225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556912"/>
        <c:axId val="1417547312"/>
      </c:scatterChart>
      <c:valAx>
        <c:axId val="1417556912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Port</a:t>
                </a:r>
              </a:p>
            </c:rich>
          </c:tx>
          <c:layout>
            <c:manualLayout>
              <c:xMode val="edge"/>
              <c:yMode val="edge"/>
              <c:x val="0.46156663063757747"/>
              <c:y val="4.54696691003371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7547312"/>
        <c:crosses val="autoZero"/>
        <c:crossBetween val="midCat"/>
        <c:majorUnit val="1"/>
      </c:valAx>
      <c:valAx>
        <c:axId val="1417547312"/>
        <c:scaling>
          <c:orientation val="maxMin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755691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latin typeface="Times New Roman" panose="02020603050405020304" pitchFamily="18" charset="0"/>
                <a:cs typeface="Times New Roman" panose="02020603050405020304" pitchFamily="18" charset="0"/>
              </a:rPr>
              <a:t>After sparging for 120h</a:t>
            </a:r>
          </a:p>
        </c:rich>
      </c:tx>
      <c:layout>
        <c:manualLayout>
          <c:xMode val="edge"/>
          <c:yMode val="edge"/>
          <c:x val="0.89870097904376223"/>
          <c:y val="0.33203810918942667"/>
        </c:manualLayout>
      </c:layout>
      <c:overlay val="0"/>
      <c:spPr>
        <a:noFill/>
        <a:ln>
          <a:noFill/>
        </a:ln>
        <a:effectLst/>
      </c:spPr>
      <c:txPr>
        <a:bodyPr rot="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462900578795412"/>
          <c:y val="0.14142152697092547"/>
          <c:w val="0.78480024377853874"/>
          <c:h val="0.76517828097735541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[1]ex.2!$D$83</c:f>
              <c:strCache>
                <c:ptCount val="1"/>
                <c:pt idx="0">
                  <c:v>PFPeA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[1]ex.2!$D$84:$D$86</c:f>
              <c:numCache>
                <c:formatCode>General</c:formatCode>
                <c:ptCount val="3"/>
                <c:pt idx="0">
                  <c:v>0.32212728590260176</c:v>
                </c:pt>
                <c:pt idx="1">
                  <c:v>3.2456132606290607E-2</c:v>
                </c:pt>
                <c:pt idx="2">
                  <c:v>1.36439360548311E-3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28-4E58-8AE6-E320C8AD017A}"/>
            </c:ext>
          </c:extLst>
        </c:ser>
        <c:ser>
          <c:idx val="1"/>
          <c:order val="1"/>
          <c:tx>
            <c:strRef>
              <c:f>[1]ex.2!$E$83</c:f>
              <c:strCache>
                <c:ptCount val="1"/>
                <c:pt idx="0">
                  <c:v>PFBS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[1]ex.2!$E$84:$E$86</c:f>
              <c:numCache>
                <c:formatCode>General</c:formatCode>
                <c:ptCount val="3"/>
                <c:pt idx="0">
                  <c:v>0.36729878168160224</c:v>
                </c:pt>
                <c:pt idx="1">
                  <c:v>6.3931661508763851E-2</c:v>
                </c:pt>
                <c:pt idx="2">
                  <c:v>5.3943305431426222E-3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28-4E58-8AE6-E320C8AD017A}"/>
            </c:ext>
          </c:extLst>
        </c:ser>
        <c:ser>
          <c:idx val="2"/>
          <c:order val="2"/>
          <c:tx>
            <c:strRef>
              <c:f>[1]ex.2!$F$83</c:f>
              <c:strCache>
                <c:ptCount val="1"/>
                <c:pt idx="0">
                  <c:v>PFHxA</c:v>
                </c:pt>
              </c:strCache>
            </c:strRef>
          </c:tx>
          <c:spPr>
            <a:ln w="28575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[1]ex.2!$F$84:$F$86</c:f>
              <c:numCache>
                <c:formatCode>General</c:formatCode>
                <c:ptCount val="3"/>
                <c:pt idx="0">
                  <c:v>0.34617474961450784</c:v>
                </c:pt>
                <c:pt idx="1">
                  <c:v>0.11286777762523245</c:v>
                </c:pt>
                <c:pt idx="2">
                  <c:v>1.6858401004832407E-2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28-4E58-8AE6-E320C8AD017A}"/>
            </c:ext>
          </c:extLst>
        </c:ser>
        <c:ser>
          <c:idx val="3"/>
          <c:order val="3"/>
          <c:tx>
            <c:strRef>
              <c:f>[1]ex.2!$G$83</c:f>
              <c:strCache>
                <c:ptCount val="1"/>
                <c:pt idx="0">
                  <c:v>PFHpA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[1]ex.2!$G$84:$G$86</c:f>
              <c:numCache>
                <c:formatCode>General</c:formatCode>
                <c:ptCount val="3"/>
                <c:pt idx="0">
                  <c:v>0.30828871966068105</c:v>
                </c:pt>
                <c:pt idx="1">
                  <c:v>0.177185168045352</c:v>
                </c:pt>
                <c:pt idx="2">
                  <c:v>0.15887381343803006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28-4E58-8AE6-E320C8AD017A}"/>
            </c:ext>
          </c:extLst>
        </c:ser>
        <c:ser>
          <c:idx val="4"/>
          <c:order val="4"/>
          <c:tx>
            <c:strRef>
              <c:f>[1]ex.2!$H$83</c:f>
              <c:strCache>
                <c:ptCount val="1"/>
                <c:pt idx="0">
                  <c:v>PFHxS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yVal>
            <c:numRef>
              <c:f>[1]ex.2!$H$84:$H$86</c:f>
              <c:numCache>
                <c:formatCode>General</c:formatCode>
                <c:ptCount val="3"/>
                <c:pt idx="0">
                  <c:v>0.20497496164696721</c:v>
                </c:pt>
                <c:pt idx="1">
                  <c:v>6.4639303725799374E-2</c:v>
                </c:pt>
                <c:pt idx="2">
                  <c:v>8.1228434751847434E-2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F28-4E58-8AE6-E320C8AD017A}"/>
            </c:ext>
          </c:extLst>
        </c:ser>
        <c:ser>
          <c:idx val="5"/>
          <c:order val="5"/>
          <c:tx>
            <c:strRef>
              <c:f>[1]ex.2!$I$83</c:f>
              <c:strCache>
                <c:ptCount val="1"/>
                <c:pt idx="0">
                  <c:v>6.2 FTS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[1]ex.2!$I$84:$I$86</c:f>
              <c:numCache>
                <c:formatCode>General</c:formatCode>
                <c:ptCount val="3"/>
                <c:pt idx="0">
                  <c:v>0.1349923751341838</c:v>
                </c:pt>
                <c:pt idx="1">
                  <c:v>2.0854353544986708E-2</c:v>
                </c:pt>
                <c:pt idx="2">
                  <c:v>3.2215633969583463E-2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28-4E58-8AE6-E320C8AD017A}"/>
            </c:ext>
          </c:extLst>
        </c:ser>
        <c:ser>
          <c:idx val="6"/>
          <c:order val="6"/>
          <c:tx>
            <c:strRef>
              <c:f>[1]ex.2!$J$83</c:f>
              <c:strCache>
                <c:ptCount val="1"/>
                <c:pt idx="0">
                  <c:v>PFOA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yVal>
            <c:numRef>
              <c:f>[1]ex.2!$J$84:$J$86</c:f>
              <c:numCache>
                <c:formatCode>General</c:formatCode>
                <c:ptCount val="3"/>
                <c:pt idx="0">
                  <c:v>0.1512557984036107</c:v>
                </c:pt>
                <c:pt idx="1">
                  <c:v>2.9442099544485772E-2</c:v>
                </c:pt>
                <c:pt idx="2">
                  <c:v>4.2905261398303314E-2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F28-4E58-8AE6-E320C8AD017A}"/>
            </c:ext>
          </c:extLst>
        </c:ser>
        <c:ser>
          <c:idx val="7"/>
          <c:order val="7"/>
          <c:tx>
            <c:strRef>
              <c:f>[1]ex.2!$K$83</c:f>
              <c:strCache>
                <c:ptCount val="1"/>
                <c:pt idx="0">
                  <c:v>PFOS</c:v>
                </c:pt>
              </c:strCache>
            </c:strRef>
          </c:tx>
          <c:spPr>
            <a:ln w="28575" cap="rnd">
              <a:solidFill>
                <a:srgbClr val="FF9999"/>
              </a:solidFill>
              <a:round/>
            </a:ln>
            <a:effectLst/>
          </c:spPr>
          <c:marker>
            <c:symbol val="none"/>
          </c:marker>
          <c:yVal>
            <c:numRef>
              <c:f>[1]ex.2!$K$84:$K$86</c:f>
              <c:numCache>
                <c:formatCode>General</c:formatCode>
                <c:ptCount val="3"/>
                <c:pt idx="0">
                  <c:v>8.051874258401992E-2</c:v>
                </c:pt>
                <c:pt idx="1">
                  <c:v>5.4815582332001945E-3</c:v>
                </c:pt>
                <c:pt idx="2">
                  <c:v>3.3424135568293867E-3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F28-4E58-8AE6-E320C8AD017A}"/>
            </c:ext>
          </c:extLst>
        </c:ser>
        <c:ser>
          <c:idx val="8"/>
          <c:order val="8"/>
          <c:tx>
            <c:strRef>
              <c:f>[1]ex.2!$L$83</c:f>
              <c:strCache>
                <c:ptCount val="1"/>
                <c:pt idx="0">
                  <c:v>PFOSA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[1]ex.2!$L$84:$L$86</c:f>
              <c:numCache>
                <c:formatCode>General</c:formatCode>
                <c:ptCount val="3"/>
                <c:pt idx="0">
                  <c:v>0.14415820973198021</c:v>
                </c:pt>
                <c:pt idx="1">
                  <c:v>9.454419290484864E-3</c:v>
                </c:pt>
                <c:pt idx="2">
                  <c:v>1.0061583832075635E-2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F28-4E58-8AE6-E320C8AD017A}"/>
            </c:ext>
          </c:extLst>
        </c:ser>
        <c:ser>
          <c:idx val="9"/>
          <c:order val="9"/>
          <c:tx>
            <c:strRef>
              <c:f>[1]ex.2!$M$83</c:f>
              <c:strCache>
                <c:ptCount val="1"/>
                <c:pt idx="0">
                  <c:v>6:2 FTAB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[1]ex.2!$M$84:$M$86</c:f>
              <c:numCache>
                <c:formatCode>General</c:formatCode>
                <c:ptCount val="3"/>
                <c:pt idx="0">
                  <c:v>0.12562257885998895</c:v>
                </c:pt>
                <c:pt idx="1">
                  <c:v>1.8649695628112896E-2</c:v>
                </c:pt>
                <c:pt idx="2">
                  <c:v>1.7100166021029331E-2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F28-4E58-8AE6-E320C8AD0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1583456"/>
        <c:axId val="1921580576"/>
      </c:scatterChart>
      <c:valAx>
        <c:axId val="1921583456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Port</a:t>
                </a:r>
              </a:p>
            </c:rich>
          </c:tx>
          <c:layout>
            <c:manualLayout>
              <c:xMode val="edge"/>
              <c:yMode val="edge"/>
              <c:x val="0.45959381436964458"/>
              <c:y val="3.327429858389149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1580576"/>
        <c:crosses val="autoZero"/>
        <c:crossBetween val="midCat"/>
        <c:majorUnit val="1"/>
      </c:valAx>
      <c:valAx>
        <c:axId val="1921580576"/>
        <c:scaling>
          <c:orientation val="maxMin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158345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Initial concentration before sparging</a:t>
            </a:r>
          </a:p>
        </c:rich>
      </c:tx>
      <c:layout>
        <c:manualLayout>
          <c:xMode val="edge"/>
          <c:yMode val="edge"/>
          <c:x val="0.89253391948923744"/>
          <c:y val="0.25807288354073765"/>
        </c:manualLayout>
      </c:layout>
      <c:overlay val="0"/>
      <c:spPr>
        <a:noFill/>
        <a:ln>
          <a:noFill/>
        </a:ln>
        <a:effectLst/>
      </c:spPr>
      <c:txPr>
        <a:bodyPr rot="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634407451785917"/>
          <c:y val="0.14489336296336244"/>
          <c:w val="0.75228130485729405"/>
          <c:h val="0.79196472064748369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[1]ex.2!$D$89</c:f>
              <c:strCache>
                <c:ptCount val="1"/>
                <c:pt idx="0">
                  <c:v>PFPeA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[1]ex.2!$D$90:$D$93</c:f>
              <c:numCache>
                <c:formatCode>General</c:formatCode>
                <c:ptCount val="4"/>
                <c:pt idx="0">
                  <c:v>147.2449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6F-43C1-A823-3E0B21EBC5F7}"/>
            </c:ext>
          </c:extLst>
        </c:ser>
        <c:ser>
          <c:idx val="1"/>
          <c:order val="1"/>
          <c:tx>
            <c:strRef>
              <c:f>[1]ex.2!$E$89</c:f>
              <c:strCache>
                <c:ptCount val="1"/>
                <c:pt idx="0">
                  <c:v>PFBS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[1]ex.2!$E$90:$E$93</c:f>
              <c:numCache>
                <c:formatCode>General</c:formatCode>
                <c:ptCount val="4"/>
                <c:pt idx="0">
                  <c:v>58.227800000000002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6F-43C1-A823-3E0B21EBC5F7}"/>
            </c:ext>
          </c:extLst>
        </c:ser>
        <c:ser>
          <c:idx val="2"/>
          <c:order val="2"/>
          <c:tx>
            <c:strRef>
              <c:f>[1]ex.2!$F$89</c:f>
              <c:strCache>
                <c:ptCount val="1"/>
                <c:pt idx="0">
                  <c:v>PFHxA</c:v>
                </c:pt>
              </c:strCache>
            </c:strRef>
          </c:tx>
          <c:spPr>
            <a:ln w="19050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[1]ex.2!$F$90:$F$93</c:f>
              <c:numCache>
                <c:formatCode>General</c:formatCode>
                <c:ptCount val="4"/>
                <c:pt idx="0">
                  <c:v>88.134100000000004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6F-43C1-A823-3E0B21EBC5F7}"/>
            </c:ext>
          </c:extLst>
        </c:ser>
        <c:ser>
          <c:idx val="3"/>
          <c:order val="3"/>
          <c:tx>
            <c:strRef>
              <c:f>[1]ex.2!$G$89</c:f>
              <c:strCache>
                <c:ptCount val="1"/>
                <c:pt idx="0">
                  <c:v>PFHpA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[1]ex.2!$G$90:$G$93</c:f>
              <c:numCache>
                <c:formatCode>General</c:formatCode>
                <c:ptCount val="4"/>
                <c:pt idx="0">
                  <c:v>53.589700000000001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6F-43C1-A823-3E0B21EBC5F7}"/>
            </c:ext>
          </c:extLst>
        </c:ser>
        <c:ser>
          <c:idx val="4"/>
          <c:order val="4"/>
          <c:tx>
            <c:strRef>
              <c:f>[1]ex.2!$H$89</c:f>
              <c:strCache>
                <c:ptCount val="1"/>
                <c:pt idx="0">
                  <c:v>PFHxS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[1]ex.2!$H$90:$H$93</c:f>
              <c:numCache>
                <c:formatCode>General</c:formatCode>
                <c:ptCount val="4"/>
                <c:pt idx="0">
                  <c:v>56.253700000000002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E6F-43C1-A823-3E0B21EBC5F7}"/>
            </c:ext>
          </c:extLst>
        </c:ser>
        <c:ser>
          <c:idx val="5"/>
          <c:order val="5"/>
          <c:tx>
            <c:strRef>
              <c:f>[1]ex.2!$I$89</c:f>
              <c:strCache>
                <c:ptCount val="1"/>
                <c:pt idx="0">
                  <c:v>6.2 FTS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[1]ex.2!$I$90:$I$93</c:f>
              <c:numCache>
                <c:formatCode>General</c:formatCode>
                <c:ptCount val="4"/>
                <c:pt idx="0">
                  <c:v>43.410600000000002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E6F-43C1-A823-3E0B21EBC5F7}"/>
            </c:ext>
          </c:extLst>
        </c:ser>
        <c:ser>
          <c:idx val="6"/>
          <c:order val="6"/>
          <c:tx>
            <c:strRef>
              <c:f>[1]ex.2!$J$89</c:f>
              <c:strCache>
                <c:ptCount val="1"/>
                <c:pt idx="0">
                  <c:v>PFOA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[1]ex.2!$J$90:$J$93</c:f>
              <c:numCache>
                <c:formatCode>General</c:formatCode>
                <c:ptCount val="4"/>
                <c:pt idx="0">
                  <c:v>59.822499999999998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E6F-43C1-A823-3E0B21EBC5F7}"/>
            </c:ext>
          </c:extLst>
        </c:ser>
        <c:ser>
          <c:idx val="7"/>
          <c:order val="7"/>
          <c:tx>
            <c:strRef>
              <c:f>[1]ex.2!$K$89</c:f>
              <c:strCache>
                <c:ptCount val="1"/>
                <c:pt idx="0">
                  <c:v>PFOS</c:v>
                </c:pt>
              </c:strCache>
            </c:strRef>
          </c:tx>
          <c:spPr>
            <a:ln w="19050" cap="rnd">
              <a:solidFill>
                <a:srgbClr val="FF9999"/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[1]ex.2!$K$90:$K$93</c:f>
              <c:numCache>
                <c:formatCode>General</c:formatCode>
                <c:ptCount val="4"/>
                <c:pt idx="0">
                  <c:v>5.9836999999999998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E6F-43C1-A823-3E0B21EBC5F7}"/>
            </c:ext>
          </c:extLst>
        </c:ser>
        <c:ser>
          <c:idx val="8"/>
          <c:order val="8"/>
          <c:tx>
            <c:strRef>
              <c:f>[1]ex.2!$L$89</c:f>
              <c:strCache>
                <c:ptCount val="1"/>
                <c:pt idx="0">
                  <c:v>PFOSA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[1]ex.2!$L$90:$L$93</c:f>
              <c:numCache>
                <c:formatCode>General</c:formatCode>
                <c:ptCount val="4"/>
                <c:pt idx="0">
                  <c:v>2.3058000000000001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E6F-43C1-A823-3E0B21EBC5F7}"/>
            </c:ext>
          </c:extLst>
        </c:ser>
        <c:ser>
          <c:idx val="9"/>
          <c:order val="9"/>
          <c:tx>
            <c:strRef>
              <c:f>[1]ex.2!$M$89</c:f>
              <c:strCache>
                <c:ptCount val="1"/>
                <c:pt idx="0">
                  <c:v>6:2 FTAB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[1]ex.2!$C$90:$C$93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[1]ex.2!$M$90:$M$93</c:f>
              <c:numCache>
                <c:formatCode>General</c:formatCode>
                <c:ptCount val="4"/>
                <c:pt idx="0">
                  <c:v>1.8069999999999999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E6F-43C1-A823-3E0B21EBC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028511"/>
        <c:axId val="451027551"/>
      </c:scatterChart>
      <c:valAx>
        <c:axId val="451028511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port</a:t>
                </a:r>
              </a:p>
            </c:rich>
          </c:tx>
          <c:layout>
            <c:manualLayout>
              <c:xMode val="edge"/>
              <c:yMode val="edge"/>
              <c:x val="0.44910144477435049"/>
              <c:y val="4.31126302590908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1027551"/>
        <c:crosses val="autoZero"/>
        <c:crossBetween val="midCat"/>
        <c:majorUnit val="1"/>
      </c:valAx>
      <c:valAx>
        <c:axId val="451027551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</a:t>
                </a:r>
                <a:r>
                  <a:rPr lang="it-IT" baseline="0"/>
                  <a:t> (ug/l)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3.0555607614672103E-2"/>
              <c:y val="0.357314820622453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1028511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73186351706036"/>
          <c:y val="0.14439435395660161"/>
          <c:w val="0.73331241294030569"/>
          <c:h val="0.7734059978663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[2]Samples!$B$19</c:f>
              <c:strCache>
                <c:ptCount val="1"/>
                <c:pt idx="0">
                  <c:v>PFPeA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[2]Samples!$B$27:$B$30</c:f>
              <c:numCache>
                <c:formatCode>General</c:formatCode>
                <c:ptCount val="4"/>
                <c:pt idx="0">
                  <c:v>0.05</c:v>
                </c:pt>
                <c:pt idx="1">
                  <c:v>0.22561547902678508</c:v>
                </c:pt>
                <c:pt idx="2">
                  <c:v>0.16456749049429659</c:v>
                </c:pt>
                <c:pt idx="3">
                  <c:v>5.2026374327569851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90-4AD2-8A0F-D361B279D149}"/>
            </c:ext>
          </c:extLst>
        </c:ser>
        <c:ser>
          <c:idx val="1"/>
          <c:order val="1"/>
          <c:tx>
            <c:strRef>
              <c:f>[2]Samples!$C$19</c:f>
              <c:strCache>
                <c:ptCount val="1"/>
                <c:pt idx="0">
                  <c:v>PFBS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[2]Samples!$C$27:$C$30</c:f>
              <c:numCache>
                <c:formatCode>General</c:formatCode>
                <c:ptCount val="4"/>
                <c:pt idx="0">
                  <c:v>0.1</c:v>
                </c:pt>
                <c:pt idx="1">
                  <c:v>0.24971121218684572</c:v>
                </c:pt>
                <c:pt idx="2">
                  <c:v>0.20833333333333334</c:v>
                </c:pt>
                <c:pt idx="3">
                  <c:v>2.1138456357400499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90-4AD2-8A0F-D361B279D149}"/>
            </c:ext>
          </c:extLst>
        </c:ser>
        <c:ser>
          <c:idx val="2"/>
          <c:order val="2"/>
          <c:tx>
            <c:strRef>
              <c:f>[2]Samples!$D$19</c:f>
              <c:strCache>
                <c:ptCount val="1"/>
                <c:pt idx="0">
                  <c:v>PFHxA</c:v>
                </c:pt>
              </c:strCache>
            </c:strRef>
          </c:tx>
          <c:spPr>
            <a:ln w="19050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[2]Samples!$D$27:$D$30</c:f>
              <c:numCache>
                <c:formatCode>General</c:formatCode>
                <c:ptCount val="4"/>
                <c:pt idx="0">
                  <c:v>0.12067260138476756</c:v>
                </c:pt>
                <c:pt idx="1">
                  <c:v>0.3576456573532597</c:v>
                </c:pt>
                <c:pt idx="2">
                  <c:v>0.19219344106463879</c:v>
                </c:pt>
                <c:pt idx="3">
                  <c:v>1.628455205296135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90-4AD2-8A0F-D361B279D149}"/>
            </c:ext>
          </c:extLst>
        </c:ser>
        <c:ser>
          <c:idx val="3"/>
          <c:order val="3"/>
          <c:tx>
            <c:strRef>
              <c:f>[2]Samples!$E$19</c:f>
              <c:strCache>
                <c:ptCount val="1"/>
                <c:pt idx="0">
                  <c:v>PFHpA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[2]Samples!$E$27:$E$30</c:f>
              <c:numCache>
                <c:formatCode>General</c:formatCode>
                <c:ptCount val="4"/>
                <c:pt idx="0">
                  <c:v>0.83020112100230792</c:v>
                </c:pt>
                <c:pt idx="1">
                  <c:v>0.61475705725218399</c:v>
                </c:pt>
                <c:pt idx="2">
                  <c:v>0.28447797845373896</c:v>
                </c:pt>
                <c:pt idx="3">
                  <c:v>0.5515921196061575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90-4AD2-8A0F-D361B279D149}"/>
            </c:ext>
          </c:extLst>
        </c:ser>
        <c:ser>
          <c:idx val="4"/>
          <c:order val="4"/>
          <c:tx>
            <c:strRef>
              <c:f>[2]Samples!$F$19</c:f>
              <c:strCache>
                <c:ptCount val="1"/>
                <c:pt idx="0">
                  <c:v>PFHxS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[2]Samples!$F$27:$F$30</c:f>
              <c:numCache>
                <c:formatCode>General</c:formatCode>
                <c:ptCount val="4"/>
                <c:pt idx="0">
                  <c:v>2.4262634826433049</c:v>
                </c:pt>
                <c:pt idx="1">
                  <c:v>0.87168796476788679</c:v>
                </c:pt>
                <c:pt idx="2">
                  <c:v>0.24051410012674274</c:v>
                </c:pt>
                <c:pt idx="3">
                  <c:v>0.3450109449914478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90-4AD2-8A0F-D361B279D149}"/>
            </c:ext>
          </c:extLst>
        </c:ser>
        <c:ser>
          <c:idx val="5"/>
          <c:order val="5"/>
          <c:tx>
            <c:strRef>
              <c:f>[2]Samples!$G$19</c:f>
              <c:strCache>
                <c:ptCount val="1"/>
                <c:pt idx="0">
                  <c:v>6.2 FTS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[2]Samples!$G$27:$G$30</c:f>
              <c:numCache>
                <c:formatCode>General</c:formatCode>
                <c:ptCount val="4"/>
                <c:pt idx="0">
                  <c:v>2.8333097828646787</c:v>
                </c:pt>
                <c:pt idx="1">
                  <c:v>0.90814742617861532</c:v>
                </c:pt>
                <c:pt idx="2">
                  <c:v>0.13525823827629913</c:v>
                </c:pt>
                <c:pt idx="3">
                  <c:v>0.28031585384226804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90-4AD2-8A0F-D361B279D149}"/>
            </c:ext>
          </c:extLst>
        </c:ser>
        <c:ser>
          <c:idx val="6"/>
          <c:order val="6"/>
          <c:tx>
            <c:strRef>
              <c:f>[2]Samples!$H$19</c:f>
              <c:strCache>
                <c:ptCount val="1"/>
                <c:pt idx="0">
                  <c:v>PFOA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[2]Samples!$H$27:$H$30</c:f>
              <c:numCache>
                <c:formatCode>General</c:formatCode>
                <c:ptCount val="4"/>
                <c:pt idx="0">
                  <c:v>2.5920587819697611</c:v>
                </c:pt>
                <c:pt idx="1">
                  <c:v>1.0608439823839435</c:v>
                </c:pt>
                <c:pt idx="2">
                  <c:v>0.18912389100126745</c:v>
                </c:pt>
                <c:pt idx="3">
                  <c:v>0.28944406533317968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590-4AD2-8A0F-D361B279D149}"/>
            </c:ext>
          </c:extLst>
        </c:ser>
        <c:ser>
          <c:idx val="7"/>
          <c:order val="7"/>
          <c:tx>
            <c:strRef>
              <c:f>[2]Samples!$I$19</c:f>
              <c:strCache>
                <c:ptCount val="1"/>
                <c:pt idx="0">
                  <c:v>PFOS</c:v>
                </c:pt>
              </c:strCache>
            </c:strRef>
          </c:tx>
          <c:spPr>
            <a:ln w="19050" cap="rnd">
              <a:solidFill>
                <a:srgbClr val="FF9999"/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[2]Samples!$I$27:$I$30</c:f>
              <c:numCache>
                <c:formatCode>General</c:formatCode>
                <c:ptCount val="4"/>
                <c:pt idx="0">
                  <c:v>0.71923131270312279</c:v>
                </c:pt>
                <c:pt idx="1">
                  <c:v>0.30773951339253486</c:v>
                </c:pt>
                <c:pt idx="2">
                  <c:v>1.8417300380228138E-2</c:v>
                </c:pt>
                <c:pt idx="3">
                  <c:v>9.8992351799498376E-2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590-4AD2-8A0F-D361B279D149}"/>
            </c:ext>
          </c:extLst>
        </c:ser>
        <c:ser>
          <c:idx val="8"/>
          <c:order val="8"/>
          <c:tx>
            <c:strRef>
              <c:f>[2]Samples!$J$19</c:f>
              <c:strCache>
                <c:ptCount val="1"/>
                <c:pt idx="0">
                  <c:v>PFOSA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[2]Samples!$J$27:$J$30</c:f>
              <c:numCache>
                <c:formatCode>General</c:formatCode>
                <c:ptCount val="4"/>
                <c:pt idx="0">
                  <c:v>0.23183081343318734</c:v>
                </c:pt>
                <c:pt idx="1">
                  <c:v>0.12174211248285322</c:v>
                </c:pt>
                <c:pt idx="2">
                  <c:v>0.02</c:v>
                </c:pt>
                <c:pt idx="3">
                  <c:v>2.2067229720747625E-2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590-4AD2-8A0F-D361B279D149}"/>
            </c:ext>
          </c:extLst>
        </c:ser>
        <c:ser>
          <c:idx val="9"/>
          <c:order val="9"/>
          <c:tx>
            <c:strRef>
              <c:f>[2]Samples!$K$19</c:f>
              <c:strCache>
                <c:ptCount val="1"/>
                <c:pt idx="0">
                  <c:v>6:2 FTAB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[2]Samples!$A$27:$A$30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[2]Samples!$K$27:$K$30</c:f>
              <c:numCache>
                <c:formatCode>General</c:formatCode>
                <c:ptCount val="4"/>
                <c:pt idx="0">
                  <c:v>0.11096980829918515</c:v>
                </c:pt>
                <c:pt idx="1">
                  <c:v>0.10152696556205329</c:v>
                </c:pt>
                <c:pt idx="2">
                  <c:v>0.05</c:v>
                </c:pt>
                <c:pt idx="3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590-4AD2-8A0F-D361B279D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2156320"/>
        <c:axId val="1722155840"/>
      </c:scatterChart>
      <c:scatterChart>
        <c:scatterStyle val="lineMarker"/>
        <c:varyColors val="0"/>
        <c:ser>
          <c:idx val="10"/>
          <c:order val="10"/>
          <c:tx>
            <c:v>Water content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[2]Samples!$A$41:$A$44</c:f>
              <c:numCache>
                <c:formatCode>General</c:formatCode>
                <c:ptCount val="4"/>
                <c:pt idx="0">
                  <c:v>4.5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xVal>
          <c:yVal>
            <c:numRef>
              <c:f>[2]Samples!$L$41:$L$44</c:f>
              <c:numCache>
                <c:formatCode>General</c:formatCode>
                <c:ptCount val="4"/>
                <c:pt idx="0">
                  <c:v>3.7499999999999999E-2</c:v>
                </c:pt>
                <c:pt idx="1">
                  <c:v>8.5900000000000004E-2</c:v>
                </c:pt>
                <c:pt idx="2">
                  <c:v>6.2199999999999998E-2</c:v>
                </c:pt>
                <c:pt idx="3">
                  <c:v>7.4099999999999999E-2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590-4AD2-8A0F-D361B279D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795071"/>
        <c:axId val="1184793151"/>
      </c:scatterChart>
      <c:valAx>
        <c:axId val="1722156320"/>
        <c:scaling>
          <c:orientation val="minMax"/>
          <c:max val="5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port</a:t>
                </a:r>
              </a:p>
            </c:rich>
          </c:tx>
          <c:layout>
            <c:manualLayout>
              <c:xMode val="edge"/>
              <c:yMode val="edge"/>
              <c:x val="0.46326511838941226"/>
              <c:y val="2.07368305340286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22155840"/>
        <c:crosses val="autoZero"/>
        <c:crossBetween val="midCat"/>
        <c:majorUnit val="1"/>
      </c:valAx>
      <c:valAx>
        <c:axId val="1722155840"/>
        <c:scaling>
          <c:orientation val="maxMin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total concentration (ng/g)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22156320"/>
        <c:crosses val="autoZero"/>
        <c:crossBetween val="midCat"/>
        <c:majorUnit val="1"/>
      </c:valAx>
      <c:valAx>
        <c:axId val="1184793151"/>
        <c:scaling>
          <c:orientation val="maxMin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water</a:t>
                </a:r>
                <a:r>
                  <a:rPr lang="it-IT" sz="1100" baseline="0"/>
                  <a:t> content</a:t>
                </a:r>
                <a:endParaRPr lang="it-IT" sz="1100"/>
              </a:p>
            </c:rich>
          </c:tx>
          <c:layout>
            <c:manualLayout>
              <c:xMode val="edge"/>
              <c:yMode val="edge"/>
              <c:x val="0.92513005034516127"/>
              <c:y val="0.4106208162188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4795071"/>
        <c:crosses val="max"/>
        <c:crossBetween val="midCat"/>
      </c:valAx>
      <c:valAx>
        <c:axId val="118479507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184793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NaBr</a:t>
            </a:r>
            <a:r>
              <a:rPr lang="en-US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results </a:t>
            </a: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after sparging for 120h  </a:t>
            </a:r>
          </a:p>
        </c:rich>
      </c:tx>
      <c:layout>
        <c:manualLayout>
          <c:xMode val="edge"/>
          <c:yMode val="edge"/>
          <c:x val="0.92185003312378022"/>
          <c:y val="0.34197650297150944"/>
        </c:manualLayout>
      </c:layout>
      <c:overlay val="0"/>
      <c:spPr>
        <a:noFill/>
        <a:ln>
          <a:noFill/>
        </a:ln>
        <a:effectLst/>
      </c:spPr>
      <c:txPr>
        <a:bodyPr rot="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081714785651792"/>
          <c:y val="0.15312963507318508"/>
          <c:w val="0.68477782484729188"/>
          <c:h val="0.52699463784286449"/>
        </c:manualLayout>
      </c:layout>
      <c:scatterChart>
        <c:scatterStyle val="lineMarker"/>
        <c:varyColors val="0"/>
        <c:ser>
          <c:idx val="0"/>
          <c:order val="0"/>
          <c:tx>
            <c:v>EC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[3]Sheet1!$I$2:$I$4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[3]Sheet1!$K$2:$K$4</c:f>
              <c:numCache>
                <c:formatCode>General</c:formatCode>
                <c:ptCount val="3"/>
                <c:pt idx="0">
                  <c:v>1208</c:v>
                </c:pt>
                <c:pt idx="1">
                  <c:v>1055</c:v>
                </c:pt>
                <c:pt idx="2">
                  <c:v>960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C5-4273-9FF3-10081DC4E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817584"/>
        <c:axId val="444820464"/>
      </c:scatterChart>
      <c:scatterChart>
        <c:scatterStyle val="lineMarker"/>
        <c:varyColors val="0"/>
        <c:ser>
          <c:idx val="1"/>
          <c:order val="1"/>
          <c:tx>
            <c:v>Concentration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[3]Sheet1!$I$9:$I$11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[3]Sheet1!$K$9:$K$11</c:f>
              <c:numCache>
                <c:formatCode>General</c:formatCode>
                <c:ptCount val="3"/>
                <c:pt idx="0">
                  <c:v>14.9232</c:v>
                </c:pt>
                <c:pt idx="1">
                  <c:v>0.55979999999999996</c:v>
                </c:pt>
                <c:pt idx="2">
                  <c:v>0.14610000000000001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C5-4273-9FF3-10081DC4E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15759"/>
        <c:axId val="89913839"/>
      </c:scatterChart>
      <c:valAx>
        <c:axId val="444817584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port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4820464"/>
        <c:crosses val="autoZero"/>
        <c:crossBetween val="midCat"/>
        <c:majorUnit val="1"/>
      </c:valAx>
      <c:valAx>
        <c:axId val="44482046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electrical</a:t>
                </a:r>
                <a:r>
                  <a:rPr lang="it-IT" sz="1100" baseline="0"/>
                  <a:t> conductivity (uS/cm)</a:t>
                </a:r>
                <a:endParaRPr lang="it-IT" sz="1100"/>
              </a:p>
            </c:rich>
          </c:tx>
          <c:layout>
            <c:manualLayout>
              <c:xMode val="edge"/>
              <c:yMode val="edge"/>
              <c:x val="6.2029470779533476E-2"/>
              <c:y val="0.2939573424130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4817584"/>
        <c:crosses val="autoZero"/>
        <c:crossBetween val="midCat"/>
        <c:majorUnit val="250"/>
      </c:valAx>
      <c:valAx>
        <c:axId val="89913839"/>
        <c:scaling>
          <c:orientation val="maxMin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concentration</a:t>
                </a:r>
                <a:r>
                  <a:rPr lang="it-IT" sz="1100" baseline="0"/>
                  <a:t> (mg/l)</a:t>
                </a:r>
                <a:endParaRPr lang="it-IT" sz="1100"/>
              </a:p>
            </c:rich>
          </c:tx>
          <c:layout>
            <c:manualLayout>
              <c:xMode val="edge"/>
              <c:yMode val="edge"/>
              <c:x val="0.88403846112425144"/>
              <c:y val="0.372173720148567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915759"/>
        <c:crosses val="max"/>
        <c:crossBetween val="midCat"/>
      </c:valAx>
      <c:valAx>
        <c:axId val="8991575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9138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55686326124688"/>
          <c:y val="0.84977788813300836"/>
          <c:w val="0.25660273150306478"/>
          <c:h val="5.64904558980170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4 - PFOSA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[1]ex.1!$V$82</c:f>
              <c:strCache>
                <c:ptCount val="1"/>
                <c:pt idx="0">
                  <c:v>PFOSA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[1]ex.1!$M$83:$M$88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cat>
          <c:val>
            <c:numRef>
              <c:f>[1]ex.1!$V$83:$V$88</c:f>
              <c:numCache>
                <c:formatCode>General</c:formatCode>
                <c:ptCount val="6"/>
                <c:pt idx="0">
                  <c:v>0</c:v>
                </c:pt>
                <c:pt idx="1">
                  <c:v>1.8936594674299589</c:v>
                </c:pt>
                <c:pt idx="2">
                  <c:v>2.5780206435944142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28-478C-A13F-442E1597D5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4214080"/>
        <c:axId val="1244216000"/>
      </c:barChart>
      <c:catAx>
        <c:axId val="1244214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layout>
            <c:manualLayout>
              <c:xMode val="edge"/>
              <c:yMode val="edge"/>
              <c:x val="0.47819883105123068"/>
              <c:y val="0.897294730030036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4216000"/>
        <c:crosses val="autoZero"/>
        <c:auto val="1"/>
        <c:lblAlgn val="ctr"/>
        <c:lblOffset val="100"/>
        <c:noMultiLvlLbl val="0"/>
      </c:catAx>
      <c:valAx>
        <c:axId val="1244216000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4214080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1 - SHORT</a:t>
            </a:r>
            <a:r>
              <a:rPr lang="it-IT" baseline="0"/>
              <a:t> CHAIN PFAS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196625724334887"/>
          <c:y val="0.15940777277542373"/>
          <c:w val="0.74031896313579237"/>
          <c:h val="0.64016088453389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[1]ex.1!$N$55</c:f>
              <c:strCache>
                <c:ptCount val="1"/>
                <c:pt idx="0">
                  <c:v>PFPeA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[1]ex.1!$B$56:$B$62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[1]ex.1!$N$56:$N$62</c:f>
              <c:numCache>
                <c:formatCode>General</c:formatCode>
                <c:ptCount val="7"/>
                <c:pt idx="0">
                  <c:v>0.58752255595949332</c:v>
                </c:pt>
                <c:pt idx="1">
                  <c:v>0.83166072305390548</c:v>
                </c:pt>
                <c:pt idx="2">
                  <c:v>0.65782244410502511</c:v>
                </c:pt>
                <c:pt idx="3">
                  <c:v>0.77843375220466038</c:v>
                </c:pt>
                <c:pt idx="4">
                  <c:v>0.6396812385352566</c:v>
                </c:pt>
                <c:pt idx="5">
                  <c:v>0.54693371383321254</c:v>
                </c:pt>
                <c:pt idx="6">
                  <c:v>0.54488882127666227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7-468E-846D-1C5F4F4413E5}"/>
            </c:ext>
          </c:extLst>
        </c:ser>
        <c:ser>
          <c:idx val="1"/>
          <c:order val="1"/>
          <c:tx>
            <c:strRef>
              <c:f>[1]ex.1!$O$55</c:f>
              <c:strCache>
                <c:ptCount val="1"/>
                <c:pt idx="0">
                  <c:v>PFBS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[1]ex.1!$B$56:$B$62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[1]ex.1!$O$56:$O$62</c:f>
              <c:numCache>
                <c:formatCode>General</c:formatCode>
                <c:ptCount val="7"/>
                <c:pt idx="0">
                  <c:v>0.68908665620202036</c:v>
                </c:pt>
                <c:pt idx="1">
                  <c:v>0.64074720322595047</c:v>
                </c:pt>
                <c:pt idx="2">
                  <c:v>0.60466649950710827</c:v>
                </c:pt>
                <c:pt idx="3">
                  <c:v>0.77442390061104838</c:v>
                </c:pt>
                <c:pt idx="4">
                  <c:v>0.5934879902726875</c:v>
                </c:pt>
                <c:pt idx="5">
                  <c:v>0.53746320486090837</c:v>
                </c:pt>
                <c:pt idx="6">
                  <c:v>0.52735119650751017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7-468E-846D-1C5F4F4413E5}"/>
            </c:ext>
          </c:extLst>
        </c:ser>
        <c:ser>
          <c:idx val="2"/>
          <c:order val="2"/>
          <c:tx>
            <c:strRef>
              <c:f>[1]ex.1!$P$55</c:f>
              <c:strCache>
                <c:ptCount val="1"/>
                <c:pt idx="0">
                  <c:v>PFHxA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[1]ex.1!$B$56:$B$62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[1]ex.1!$P$56:$P$62</c:f>
              <c:numCache>
                <c:formatCode>General</c:formatCode>
                <c:ptCount val="7"/>
                <c:pt idx="0">
                  <c:v>0.56576625846295592</c:v>
                </c:pt>
                <c:pt idx="1">
                  <c:v>0.76811132127065451</c:v>
                </c:pt>
                <c:pt idx="2">
                  <c:v>0.60705220794221537</c:v>
                </c:pt>
                <c:pt idx="3">
                  <c:v>0.68710748734031435</c:v>
                </c:pt>
                <c:pt idx="4">
                  <c:v>0.47455184769572728</c:v>
                </c:pt>
                <c:pt idx="5">
                  <c:v>0.4225084274985505</c:v>
                </c:pt>
                <c:pt idx="6">
                  <c:v>0.43016153792913303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17-468E-846D-1C5F4F4413E5}"/>
            </c:ext>
          </c:extLst>
        </c:ser>
        <c:ser>
          <c:idx val="3"/>
          <c:order val="3"/>
          <c:tx>
            <c:strRef>
              <c:f>[1]ex.1!$Q$55</c:f>
              <c:strCache>
                <c:ptCount val="1"/>
                <c:pt idx="0">
                  <c:v>PFHpA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[1]ex.1!$B$56:$B$62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[1]ex.1!$Q$56:$Q$62</c:f>
              <c:numCache>
                <c:formatCode>General</c:formatCode>
                <c:ptCount val="7"/>
                <c:pt idx="0">
                  <c:v>0.56180758615928061</c:v>
                </c:pt>
                <c:pt idx="1">
                  <c:v>0.67927978697398939</c:v>
                </c:pt>
                <c:pt idx="2">
                  <c:v>0.41559105574392091</c:v>
                </c:pt>
                <c:pt idx="3">
                  <c:v>0.49393073669007292</c:v>
                </c:pt>
                <c:pt idx="4">
                  <c:v>0.2422984267499165</c:v>
                </c:pt>
                <c:pt idx="5">
                  <c:v>0.20644825404881906</c:v>
                </c:pt>
                <c:pt idx="6">
                  <c:v>0.21342347503344861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17-468E-846D-1C5F4F441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6149663"/>
        <c:axId val="1086157343"/>
      </c:barChart>
      <c:catAx>
        <c:axId val="10861496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</a:t>
                </a:r>
                <a:r>
                  <a:rPr lang="it-IT" baseline="0"/>
                  <a:t> time (h)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157343"/>
        <c:crosses val="autoZero"/>
        <c:auto val="1"/>
        <c:lblAlgn val="ctr"/>
        <c:lblOffset val="100"/>
        <c:noMultiLvlLbl val="0"/>
      </c:catAx>
      <c:valAx>
        <c:axId val="108615734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14966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558087309633179"/>
          <c:y val="0.92829085010593215"/>
          <c:w val="0.42868946165608024"/>
          <c:h val="6.89514054647256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1</a:t>
            </a:r>
            <a:r>
              <a:rPr lang="it-IT" baseline="0"/>
              <a:t> - LONG CHAIN PFAS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6478120553238572E-2"/>
          <c:y val="0.15575309667416484"/>
          <c:w val="0.87226870993651351"/>
          <c:h val="0.603715975932226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[1]ex.1!$R$55</c:f>
              <c:strCache>
                <c:ptCount val="1"/>
                <c:pt idx="0">
                  <c:v>PFHxS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[1]ex.1!$M$56:$M$62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[1]ex.1!$R$56:$R$62</c:f>
              <c:numCache>
                <c:formatCode>General</c:formatCode>
                <c:ptCount val="7"/>
                <c:pt idx="0">
                  <c:v>0.54019380058556143</c:v>
                </c:pt>
                <c:pt idx="1">
                  <c:v>0.39062674988489643</c:v>
                </c:pt>
                <c:pt idx="2">
                  <c:v>0.19716391988438095</c:v>
                </c:pt>
                <c:pt idx="3">
                  <c:v>0.23744571468187869</c:v>
                </c:pt>
                <c:pt idx="4">
                  <c:v>8.5430824994622567E-2</c:v>
                </c:pt>
                <c:pt idx="5">
                  <c:v>6.5007279521169262E-2</c:v>
                </c:pt>
                <c:pt idx="6">
                  <c:v>6.7762653834325559E-2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71-4582-A6ED-750DCC9E7D52}"/>
            </c:ext>
          </c:extLst>
        </c:ser>
        <c:ser>
          <c:idx val="1"/>
          <c:order val="1"/>
          <c:tx>
            <c:strRef>
              <c:f>[1]ex.1!$T$55</c:f>
              <c:strCache>
                <c:ptCount val="1"/>
                <c:pt idx="0">
                  <c:v>PFOA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[1]ex.1!$M$56:$M$62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[1]ex.1!$T$56:$T$62</c:f>
              <c:numCache>
                <c:formatCode>General</c:formatCode>
                <c:ptCount val="7"/>
                <c:pt idx="0">
                  <c:v>0.5971783191942831</c:v>
                </c:pt>
                <c:pt idx="1">
                  <c:v>0.30272890634794603</c:v>
                </c:pt>
                <c:pt idx="2">
                  <c:v>0.11377491746416483</c:v>
                </c:pt>
                <c:pt idx="3">
                  <c:v>0.1359471770654854</c:v>
                </c:pt>
                <c:pt idx="4">
                  <c:v>4.0145430231100343E-2</c:v>
                </c:pt>
                <c:pt idx="5">
                  <c:v>2.5859835346232603E-2</c:v>
                </c:pt>
                <c:pt idx="6">
                  <c:v>2.8534414308997454E-2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71-4582-A6ED-750DCC9E7D52}"/>
            </c:ext>
          </c:extLst>
        </c:ser>
        <c:ser>
          <c:idx val="2"/>
          <c:order val="2"/>
          <c:tx>
            <c:strRef>
              <c:f>[1]ex.1!$U$55</c:f>
              <c:strCache>
                <c:ptCount val="1"/>
                <c:pt idx="0">
                  <c:v>PFOS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[1]ex.1!$M$56:$M$62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[1]ex.1!$U$56:$U$62</c:f>
              <c:numCache>
                <c:formatCode>General</c:formatCode>
                <c:ptCount val="7"/>
                <c:pt idx="0">
                  <c:v>0.57633236960409107</c:v>
                </c:pt>
                <c:pt idx="1">
                  <c:v>0.30145227869044239</c:v>
                </c:pt>
                <c:pt idx="2">
                  <c:v>0.11773651753931515</c:v>
                </c:pt>
                <c:pt idx="3">
                  <c:v>5.7940739007637417E-2</c:v>
                </c:pt>
                <c:pt idx="4">
                  <c:v>1.9686815849725089E-2</c:v>
                </c:pt>
                <c:pt idx="5">
                  <c:v>1.0227785483897923E-2</c:v>
                </c:pt>
                <c:pt idx="6">
                  <c:v>3.0365827163794979E-2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71-4582-A6ED-750DCC9E7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6070943"/>
        <c:axId val="1086075743"/>
      </c:barChart>
      <c:catAx>
        <c:axId val="10860709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75743"/>
        <c:crosses val="autoZero"/>
        <c:auto val="1"/>
        <c:lblAlgn val="ctr"/>
        <c:lblOffset val="100"/>
        <c:noMultiLvlLbl val="0"/>
      </c:catAx>
      <c:valAx>
        <c:axId val="108607574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7094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1 - PRECURSORS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900622720465205"/>
          <c:y val="0.15458457301468845"/>
          <c:w val="0.84108349292976226"/>
          <c:h val="0.63169600223684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[1]ex.1!$S$55</c:f>
              <c:strCache>
                <c:ptCount val="1"/>
                <c:pt idx="0">
                  <c:v>6.2 FTS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[1]ex.1!$M$56:$M$62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[1]ex.1!$S$56:$S$62</c:f>
              <c:numCache>
                <c:formatCode>General</c:formatCode>
                <c:ptCount val="7"/>
                <c:pt idx="0">
                  <c:v>0.34620346182729561</c:v>
                </c:pt>
                <c:pt idx="1">
                  <c:v>0.23009126803131033</c:v>
                </c:pt>
                <c:pt idx="2">
                  <c:v>8.7287436709006558E-2</c:v>
                </c:pt>
                <c:pt idx="3">
                  <c:v>0.11633103435566428</c:v>
                </c:pt>
                <c:pt idx="4">
                  <c:v>3.985201770996024E-2</c:v>
                </c:pt>
                <c:pt idx="5">
                  <c:v>2.5982133395990838E-2</c:v>
                </c:pt>
                <c:pt idx="6">
                  <c:v>3.0188479311504562E-2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30-464F-BF8A-7124122983AE}"/>
            </c:ext>
          </c:extLst>
        </c:ser>
        <c:ser>
          <c:idx val="2"/>
          <c:order val="1"/>
          <c:tx>
            <c:strRef>
              <c:f>[1]ex.1!$W$55</c:f>
              <c:strCache>
                <c:ptCount val="1"/>
                <c:pt idx="0">
                  <c:v>6:2 FTAB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[1]ex.1!$M$56:$M$62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[1]ex.1!$W$56:$W$62</c:f>
              <c:numCache>
                <c:formatCode>General</c:formatCode>
                <c:ptCount val="7"/>
                <c:pt idx="0">
                  <c:v>0.5185390149418927</c:v>
                </c:pt>
                <c:pt idx="1">
                  <c:v>0.46485888212506915</c:v>
                </c:pt>
                <c:pt idx="2">
                  <c:v>0.24349750968456005</c:v>
                </c:pt>
                <c:pt idx="3">
                  <c:v>0.14471499723298287</c:v>
                </c:pt>
                <c:pt idx="4">
                  <c:v>0.10132816823464307</c:v>
                </c:pt>
                <c:pt idx="5">
                  <c:v>9.6624239070282239E-2</c:v>
                </c:pt>
                <c:pt idx="6">
                  <c:v>0.10890979524073049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30-464F-BF8A-712412298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6097343"/>
        <c:axId val="1086097823"/>
      </c:barChart>
      <c:catAx>
        <c:axId val="1086097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</a:t>
                </a:r>
                <a:r>
                  <a:rPr lang="it-IT" baseline="0"/>
                  <a:t> time (h)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0.40700504321146913"/>
              <c:y val="0.841288625386179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97823"/>
        <c:crosses val="autoZero"/>
        <c:auto val="1"/>
        <c:lblAlgn val="ctr"/>
        <c:lblOffset val="100"/>
        <c:noMultiLvlLbl val="0"/>
      </c:catAx>
      <c:valAx>
        <c:axId val="108609782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09734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2 - SHORT CHAIN PFAS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126068122381093"/>
          <c:y val="0.17247151825156939"/>
          <c:w val="0.81063999660161445"/>
          <c:h val="0.600569449515059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[1]ex.1!$N$64</c:f>
              <c:strCache>
                <c:ptCount val="1"/>
                <c:pt idx="0">
                  <c:v>PFPeA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[1]ex.1!$M$65:$M$71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[1]ex.1!$N$65:$N$71</c:f>
              <c:numCache>
                <c:formatCode>General</c:formatCode>
                <c:ptCount val="7"/>
                <c:pt idx="0">
                  <c:v>3.5172695285201729E-3</c:v>
                </c:pt>
                <c:pt idx="1">
                  <c:v>3.6449479744289953E-3</c:v>
                </c:pt>
                <c:pt idx="2">
                  <c:v>5.3332916793722568E-3</c:v>
                </c:pt>
                <c:pt idx="3">
                  <c:v>3.7451891372808153E-2</c:v>
                </c:pt>
                <c:pt idx="4">
                  <c:v>0.16483423194962951</c:v>
                </c:pt>
                <c:pt idx="5">
                  <c:v>0.19235776587168724</c:v>
                </c:pt>
                <c:pt idx="6">
                  <c:v>0.18457141809325822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8F-437D-B2E0-654CA62839FC}"/>
            </c:ext>
          </c:extLst>
        </c:ser>
        <c:ser>
          <c:idx val="1"/>
          <c:order val="1"/>
          <c:tx>
            <c:strRef>
              <c:f>[1]ex.1!$O$64</c:f>
              <c:strCache>
                <c:ptCount val="1"/>
                <c:pt idx="0">
                  <c:v>PFBS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[1]ex.1!$M$65:$M$71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[1]ex.1!$O$65:$O$71</c:f>
              <c:numCache>
                <c:formatCode>General</c:formatCode>
                <c:ptCount val="7"/>
                <c:pt idx="0">
                  <c:v>3.6941117473097045E-3</c:v>
                </c:pt>
                <c:pt idx="1">
                  <c:v>4.2883296294896935E-3</c:v>
                </c:pt>
                <c:pt idx="2">
                  <c:v>6.6188315546869365E-3</c:v>
                </c:pt>
                <c:pt idx="3">
                  <c:v>5.0381432923792414E-2</c:v>
                </c:pt>
                <c:pt idx="4">
                  <c:v>0.18876550376280746</c:v>
                </c:pt>
                <c:pt idx="5">
                  <c:v>0.22001174696622575</c:v>
                </c:pt>
                <c:pt idx="6">
                  <c:v>0.21265615393334455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8F-437D-B2E0-654CA62839FC}"/>
            </c:ext>
          </c:extLst>
        </c:ser>
        <c:ser>
          <c:idx val="2"/>
          <c:order val="2"/>
          <c:tx>
            <c:strRef>
              <c:f>[1]ex.1!$P$64</c:f>
              <c:strCache>
                <c:ptCount val="1"/>
                <c:pt idx="0">
                  <c:v>PFHxA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[1]ex.1!$M$65:$M$71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[1]ex.1!$P$65:$P$71</c:f>
              <c:numCache>
                <c:formatCode>General</c:formatCode>
                <c:ptCount val="7"/>
                <c:pt idx="0">
                  <c:v>3.6467156299321147E-3</c:v>
                </c:pt>
                <c:pt idx="1">
                  <c:v>5.1875494275201084E-3</c:v>
                </c:pt>
                <c:pt idx="2">
                  <c:v>7.924288101881111E-3</c:v>
                </c:pt>
                <c:pt idx="3">
                  <c:v>5.5304360060407946E-2</c:v>
                </c:pt>
                <c:pt idx="4">
                  <c:v>0.1798486624359924</c:v>
                </c:pt>
                <c:pt idx="5">
                  <c:v>0.20720924137195476</c:v>
                </c:pt>
                <c:pt idx="6">
                  <c:v>0.19719155241841693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8F-437D-B2E0-654CA62839FC}"/>
            </c:ext>
          </c:extLst>
        </c:ser>
        <c:ser>
          <c:idx val="3"/>
          <c:order val="3"/>
          <c:tx>
            <c:strRef>
              <c:f>[1]ex.1!$Q$64</c:f>
              <c:strCache>
                <c:ptCount val="1"/>
                <c:pt idx="0">
                  <c:v>PFHpA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[1]ex.1!$M$65:$M$71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[1]ex.1!$Q$65:$Q$71</c:f>
              <c:numCache>
                <c:formatCode>General</c:formatCode>
                <c:ptCount val="7"/>
                <c:pt idx="0">
                  <c:v>4.9300518569799787E-3</c:v>
                </c:pt>
                <c:pt idx="1">
                  <c:v>1.6454654532494117E-2</c:v>
                </c:pt>
                <c:pt idx="2">
                  <c:v>2.3903847194516856E-2</c:v>
                </c:pt>
                <c:pt idx="3">
                  <c:v>8.9817632866017155E-2</c:v>
                </c:pt>
                <c:pt idx="4">
                  <c:v>0.154210603903362</c:v>
                </c:pt>
                <c:pt idx="5">
                  <c:v>0.15602251925276686</c:v>
                </c:pt>
                <c:pt idx="6">
                  <c:v>0.14747236875742911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8F-437D-B2E0-654CA6283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21903"/>
        <c:axId val="1133805583"/>
      </c:barChart>
      <c:catAx>
        <c:axId val="11338219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</a:t>
                </a:r>
                <a:r>
                  <a:rPr lang="it-IT" baseline="0"/>
                  <a:t> time (h)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05583"/>
        <c:crosses val="autoZero"/>
        <c:auto val="1"/>
        <c:lblAlgn val="ctr"/>
        <c:lblOffset val="100"/>
        <c:noMultiLvlLbl val="0"/>
      </c:catAx>
      <c:valAx>
        <c:axId val="11338055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layout>
            <c:manualLayout>
              <c:xMode val="edge"/>
              <c:yMode val="edge"/>
              <c:x val="2.7666343892654585E-2"/>
              <c:y val="0.36654614290395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2190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PORT 2 - LONG CHAIN PFAS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5101472282388813E-2"/>
          <c:y val="0.15782978723404256"/>
          <c:w val="0.87452717323129248"/>
          <c:h val="0.6197088289495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[1]ex.1!$R$55</c:f>
              <c:strCache>
                <c:ptCount val="1"/>
                <c:pt idx="0">
                  <c:v>PFHxS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[1]ex.1!$M$65:$M$71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[1]ex.1!$R$65:$R$71</c:f>
              <c:numCache>
                <c:formatCode>General</c:formatCode>
                <c:ptCount val="7"/>
                <c:pt idx="0">
                  <c:v>3.7348654399621713E-3</c:v>
                </c:pt>
                <c:pt idx="1">
                  <c:v>3.7355765043010504E-2</c:v>
                </c:pt>
                <c:pt idx="2">
                  <c:v>4.4288642347081172E-2</c:v>
                </c:pt>
                <c:pt idx="3">
                  <c:v>7.7084707317029807E-2</c:v>
                </c:pt>
                <c:pt idx="4">
                  <c:v>8.0771575914117655E-2</c:v>
                </c:pt>
                <c:pt idx="5">
                  <c:v>6.4079340558932121E-2</c:v>
                </c:pt>
                <c:pt idx="6">
                  <c:v>5.829483216215111E-2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8-4F77-9F7E-824D0368C16B}"/>
            </c:ext>
          </c:extLst>
        </c:ser>
        <c:ser>
          <c:idx val="1"/>
          <c:order val="1"/>
          <c:tx>
            <c:strRef>
              <c:f>[1]ex.1!$T$55</c:f>
              <c:strCache>
                <c:ptCount val="1"/>
                <c:pt idx="0">
                  <c:v>PFOA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[1]ex.1!$M$65:$M$71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[1]ex.1!$T$65:$T$71</c:f>
              <c:numCache>
                <c:formatCode>General</c:formatCode>
                <c:ptCount val="7"/>
                <c:pt idx="0">
                  <c:v>5.329098583308955E-3</c:v>
                </c:pt>
                <c:pt idx="1">
                  <c:v>4.9056793012662456E-2</c:v>
                </c:pt>
                <c:pt idx="2">
                  <c:v>5.216097622132141E-2</c:v>
                </c:pt>
                <c:pt idx="3">
                  <c:v>6.2371181411676212E-2</c:v>
                </c:pt>
                <c:pt idx="4">
                  <c:v>4.2326883697605414E-2</c:v>
                </c:pt>
                <c:pt idx="5">
                  <c:v>2.6754147686907103E-2</c:v>
                </c:pt>
                <c:pt idx="6">
                  <c:v>2.7294078315015256E-2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A8-4F77-9F7E-824D0368C16B}"/>
            </c:ext>
          </c:extLst>
        </c:ser>
        <c:ser>
          <c:idx val="2"/>
          <c:order val="2"/>
          <c:tx>
            <c:strRef>
              <c:f>[1]ex.1!$U$55</c:f>
              <c:strCache>
                <c:ptCount val="1"/>
                <c:pt idx="0">
                  <c:v>PFOS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[1]ex.1!$M$65:$M$71</c:f>
              <c:strCache>
                <c:ptCount val="7"/>
                <c:pt idx="0">
                  <c:v>1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  <c:pt idx="6">
                  <c:v>120+1</c:v>
                </c:pt>
              </c:strCache>
            </c:strRef>
          </c:cat>
          <c:val>
            <c:numRef>
              <c:f>[1]ex.1!$U$65:$U$71</c:f>
              <c:numCache>
                <c:formatCode>General</c:formatCode>
                <c:ptCount val="7"/>
                <c:pt idx="0">
                  <c:v>3.3424135568293867E-3</c:v>
                </c:pt>
                <c:pt idx="1">
                  <c:v>1.1982552601233352E-2</c:v>
                </c:pt>
                <c:pt idx="2">
                  <c:v>1.5124421344652974E-2</c:v>
                </c:pt>
                <c:pt idx="3">
                  <c:v>9.3921820946905772E-3</c:v>
                </c:pt>
                <c:pt idx="4">
                  <c:v>4.0443204037635579E-3</c:v>
                </c:pt>
                <c:pt idx="5">
                  <c:v>4.7462272506977295E-3</c:v>
                </c:pt>
                <c:pt idx="6">
                  <c:v>4.5791065728562601E-3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A8-4F77-9F7E-824D0368C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823343"/>
        <c:axId val="1133824783"/>
      </c:barChart>
      <c:catAx>
        <c:axId val="1133823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sparging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24783"/>
        <c:crosses val="autoZero"/>
        <c:auto val="1"/>
        <c:lblAlgn val="ctr"/>
        <c:lblOffset val="100"/>
        <c:noMultiLvlLbl val="0"/>
      </c:catAx>
      <c:valAx>
        <c:axId val="11338247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c/c0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382334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13" Type="http://schemas.openxmlformats.org/officeDocument/2006/relationships/chart" Target="../charts/chart33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12" Type="http://schemas.openxmlformats.org/officeDocument/2006/relationships/chart" Target="../charts/chart32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11" Type="http://schemas.openxmlformats.org/officeDocument/2006/relationships/chart" Target="../charts/chart31.xml"/><Relationship Id="rId5" Type="http://schemas.openxmlformats.org/officeDocument/2006/relationships/chart" Target="../charts/chart25.xml"/><Relationship Id="rId10" Type="http://schemas.openxmlformats.org/officeDocument/2006/relationships/chart" Target="../charts/chart30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Relationship Id="rId14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48684</xdr:colOff>
      <xdr:row>104</xdr:row>
      <xdr:rowOff>133242</xdr:rowOff>
    </xdr:from>
    <xdr:to>
      <xdr:col>31</xdr:col>
      <xdr:colOff>349674</xdr:colOff>
      <xdr:row>121</xdr:row>
      <xdr:rowOff>122977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5AD449E-8E81-4375-AF0A-5D946DEE02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421217</xdr:colOff>
      <xdr:row>104</xdr:row>
      <xdr:rowOff>140016</xdr:rowOff>
    </xdr:from>
    <xdr:to>
      <xdr:col>39</xdr:col>
      <xdr:colOff>286703</xdr:colOff>
      <xdr:row>121</xdr:row>
      <xdr:rowOff>152822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4810319-9314-436F-BFDD-D57A8DBBE0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372321</xdr:colOff>
      <xdr:row>104</xdr:row>
      <xdr:rowOff>158219</xdr:rowOff>
    </xdr:from>
    <xdr:to>
      <xdr:col>47</xdr:col>
      <xdr:colOff>59901</xdr:colOff>
      <xdr:row>122</xdr:row>
      <xdr:rowOff>69002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F68745B-E672-4C1B-B340-CCA9976EDD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47</xdr:col>
      <xdr:colOff>115252</xdr:colOff>
      <xdr:row>104</xdr:row>
      <xdr:rowOff>126601</xdr:rowOff>
    </xdr:from>
    <xdr:to>
      <xdr:col>55</xdr:col>
      <xdr:colOff>87947</xdr:colOff>
      <xdr:row>122</xdr:row>
      <xdr:rowOff>94190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B094ED61-8536-4FCB-A339-B2CB87C062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153458</xdr:colOff>
      <xdr:row>53</xdr:row>
      <xdr:rowOff>0</xdr:rowOff>
    </xdr:from>
    <xdr:to>
      <xdr:col>31</xdr:col>
      <xdr:colOff>452015</xdr:colOff>
      <xdr:row>69</xdr:row>
      <xdr:rowOff>112712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4B49207E-85A6-42F2-AC6C-50E59CE7D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388620</xdr:colOff>
      <xdr:row>54</xdr:row>
      <xdr:rowOff>84454</xdr:rowOff>
    </xdr:from>
    <xdr:to>
      <xdr:col>39</xdr:col>
      <xdr:colOff>103823</xdr:colOff>
      <xdr:row>71</xdr:row>
      <xdr:rowOff>19684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881B2AC5-F820-4F03-B80A-D16839EFBC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39</xdr:col>
      <xdr:colOff>188491</xdr:colOff>
      <xdr:row>54</xdr:row>
      <xdr:rowOff>86145</xdr:rowOff>
    </xdr:from>
    <xdr:to>
      <xdr:col>46</xdr:col>
      <xdr:colOff>554250</xdr:colOff>
      <xdr:row>71</xdr:row>
      <xdr:rowOff>40426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66524E09-56E5-4207-9A01-76A77E1F4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0</xdr:colOff>
      <xdr:row>71</xdr:row>
      <xdr:rowOff>59371</xdr:rowOff>
    </xdr:from>
    <xdr:to>
      <xdr:col>31</xdr:col>
      <xdr:colOff>297180</xdr:colOff>
      <xdr:row>87</xdr:row>
      <xdr:rowOff>80220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452CE25F-6720-404D-8591-B9A25A198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31</xdr:col>
      <xdr:colOff>340995</xdr:colOff>
      <xdr:row>71</xdr:row>
      <xdr:rowOff>19261</xdr:rowOff>
    </xdr:from>
    <xdr:to>
      <xdr:col>39</xdr:col>
      <xdr:colOff>32385</xdr:colOff>
      <xdr:row>87</xdr:row>
      <xdr:rowOff>92709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25925F6-532B-4ED1-8D0A-DFAE72152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39</xdr:col>
      <xdr:colOff>134620</xdr:colOff>
      <xdr:row>71</xdr:row>
      <xdr:rowOff>15345</xdr:rowOff>
    </xdr:from>
    <xdr:to>
      <xdr:col>46</xdr:col>
      <xdr:colOff>582190</xdr:colOff>
      <xdr:row>87</xdr:row>
      <xdr:rowOff>80220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32698DEC-653E-41D9-87D0-D6CCD968A2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78105</xdr:colOff>
      <xdr:row>87</xdr:row>
      <xdr:rowOff>98741</xdr:rowOff>
    </xdr:from>
    <xdr:to>
      <xdr:col>31</xdr:col>
      <xdr:colOff>384810</xdr:colOff>
      <xdr:row>103</xdr:row>
      <xdr:rowOff>167216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3475D326-F903-4077-B936-68184BD8E1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31</xdr:col>
      <xdr:colOff>468630</xdr:colOff>
      <xdr:row>87</xdr:row>
      <xdr:rowOff>98741</xdr:rowOff>
    </xdr:from>
    <xdr:to>
      <xdr:col>39</xdr:col>
      <xdr:colOff>163830</xdr:colOff>
      <xdr:row>104</xdr:row>
      <xdr:rowOff>33442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B951722E-F119-411A-8087-9AB39CD5AA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39</xdr:col>
      <xdr:colOff>257175</xdr:colOff>
      <xdr:row>87</xdr:row>
      <xdr:rowOff>106360</xdr:rowOff>
    </xdr:from>
    <xdr:to>
      <xdr:col>46</xdr:col>
      <xdr:colOff>565785</xdr:colOff>
      <xdr:row>104</xdr:row>
      <xdr:rowOff>103714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CDB872AF-C9E6-4705-859D-5B05CE0C86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46</xdr:col>
      <xdr:colOff>594519</xdr:colOff>
      <xdr:row>54</xdr:row>
      <xdr:rowOff>93581</xdr:rowOff>
    </xdr:from>
    <xdr:to>
      <xdr:col>54</xdr:col>
      <xdr:colOff>347450</xdr:colOff>
      <xdr:row>70</xdr:row>
      <xdr:rowOff>130808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81800B46-EF6A-4BD0-A136-A0CEF8A100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47</xdr:col>
      <xdr:colOff>2699</xdr:colOff>
      <xdr:row>70</xdr:row>
      <xdr:rowOff>150414</xdr:rowOff>
    </xdr:from>
    <xdr:to>
      <xdr:col>54</xdr:col>
      <xdr:colOff>488845</xdr:colOff>
      <xdr:row>87</xdr:row>
      <xdr:rowOff>50375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009A7B-676A-4805-B828-F3733F00B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47</xdr:col>
      <xdr:colOff>35932</xdr:colOff>
      <xdr:row>87</xdr:row>
      <xdr:rowOff>98450</xdr:rowOff>
    </xdr:from>
    <xdr:to>
      <xdr:col>55</xdr:col>
      <xdr:colOff>61066</xdr:colOff>
      <xdr:row>104</xdr:row>
      <xdr:rowOff>137370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110E0186-508C-4564-BB75-03F3D87A8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232887</xdr:colOff>
      <xdr:row>109</xdr:row>
      <xdr:rowOff>22860</xdr:rowOff>
    </xdr:from>
    <xdr:to>
      <xdr:col>9</xdr:col>
      <xdr:colOff>538321</xdr:colOff>
      <xdr:row>130</xdr:row>
      <xdr:rowOff>29164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B29D6D98-50B4-461B-8418-53827A1E01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98804</xdr:colOff>
      <xdr:row>109</xdr:row>
      <xdr:rowOff>118118</xdr:rowOff>
    </xdr:from>
    <xdr:to>
      <xdr:col>19</xdr:col>
      <xdr:colOff>485173</xdr:colOff>
      <xdr:row>130</xdr:row>
      <xdr:rowOff>123887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55F386B2-61F3-4B3E-AE39-612E78BD3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</xdr:col>
      <xdr:colOff>502920</xdr:colOff>
      <xdr:row>131</xdr:row>
      <xdr:rowOff>101236</xdr:rowOff>
    </xdr:from>
    <xdr:to>
      <xdr:col>13</xdr:col>
      <xdr:colOff>373697</xdr:colOff>
      <xdr:row>152</xdr:row>
      <xdr:rowOff>172833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F9710A0B-26DE-43A9-BC0C-D37525F4CF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14</xdr:col>
      <xdr:colOff>7620</xdr:colOff>
      <xdr:row>171</xdr:row>
      <xdr:rowOff>83820</xdr:rowOff>
    </xdr:from>
    <xdr:to>
      <xdr:col>23</xdr:col>
      <xdr:colOff>545678</xdr:colOff>
      <xdr:row>189</xdr:row>
      <xdr:rowOff>83184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DB5D2ACB-31F8-43C5-B7CC-0FB0C1A269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289560</xdr:colOff>
      <xdr:row>54</xdr:row>
      <xdr:rowOff>5715</xdr:rowOff>
    </xdr:from>
    <xdr:to>
      <xdr:col>30</xdr:col>
      <xdr:colOff>390207</xdr:colOff>
      <xdr:row>66</xdr:row>
      <xdr:rowOff>158008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3025C59-D56F-41E5-9FF5-2F27967D6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516254</xdr:colOff>
      <xdr:row>54</xdr:row>
      <xdr:rowOff>18203</xdr:rowOff>
    </xdr:from>
    <xdr:to>
      <xdr:col>36</xdr:col>
      <xdr:colOff>447356</xdr:colOff>
      <xdr:row>66</xdr:row>
      <xdr:rowOff>175153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7BBED866-DD7A-4059-8F9E-BC31790D71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522394</xdr:colOff>
      <xdr:row>54</xdr:row>
      <xdr:rowOff>0</xdr:rowOff>
    </xdr:from>
    <xdr:to>
      <xdr:col>42</xdr:col>
      <xdr:colOff>593090</xdr:colOff>
      <xdr:row>67</xdr:row>
      <xdr:rowOff>42332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6AE11649-8087-4282-9B95-7A18C3B3CA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361632</xdr:colOff>
      <xdr:row>67</xdr:row>
      <xdr:rowOff>22752</xdr:rowOff>
    </xdr:from>
    <xdr:to>
      <xdr:col>30</xdr:col>
      <xdr:colOff>422592</xdr:colOff>
      <xdr:row>81</xdr:row>
      <xdr:rowOff>2962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EFD48C0D-5826-4056-8A58-9BE600795C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486410</xdr:colOff>
      <xdr:row>67</xdr:row>
      <xdr:rowOff>1798</xdr:rowOff>
    </xdr:from>
    <xdr:to>
      <xdr:col>36</xdr:col>
      <xdr:colOff>569595</xdr:colOff>
      <xdr:row>81</xdr:row>
      <xdr:rowOff>16509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3C877EDE-704C-4563-82B3-AAA3459097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559752</xdr:colOff>
      <xdr:row>67</xdr:row>
      <xdr:rowOff>41803</xdr:rowOff>
    </xdr:from>
    <xdr:to>
      <xdr:col>43</xdr:col>
      <xdr:colOff>173990</xdr:colOff>
      <xdr:row>81</xdr:row>
      <xdr:rowOff>43814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E6749FE4-02E3-4EFC-BAE2-6A5B9DA748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294533</xdr:colOff>
      <xdr:row>81</xdr:row>
      <xdr:rowOff>84983</xdr:rowOff>
    </xdr:from>
    <xdr:to>
      <xdr:col>30</xdr:col>
      <xdr:colOff>486411</xdr:colOff>
      <xdr:row>95</xdr:row>
      <xdr:rowOff>36194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12164603-B2C6-4078-AAA9-9F1FBCECF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30</xdr:col>
      <xdr:colOff>440371</xdr:colOff>
      <xdr:row>81</xdr:row>
      <xdr:rowOff>105515</xdr:rowOff>
    </xdr:from>
    <xdr:to>
      <xdr:col>37</xdr:col>
      <xdr:colOff>60959</xdr:colOff>
      <xdr:row>95</xdr:row>
      <xdr:rowOff>36194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C3016C0E-2D45-49A8-A0C5-1DC794F0A0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36512</xdr:colOff>
      <xdr:row>81</xdr:row>
      <xdr:rowOff>130068</xdr:rowOff>
    </xdr:from>
    <xdr:to>
      <xdr:col>43</xdr:col>
      <xdr:colOff>230717</xdr:colOff>
      <xdr:row>95</xdr:row>
      <xdr:rowOff>66039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7E9E7B6C-6907-4A5C-965D-636F915FAF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477913</xdr:colOff>
      <xdr:row>90</xdr:row>
      <xdr:rowOff>135255</xdr:rowOff>
    </xdr:from>
    <xdr:to>
      <xdr:col>25</xdr:col>
      <xdr:colOff>29814</xdr:colOff>
      <xdr:row>105</xdr:row>
      <xdr:rowOff>161925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60E2ACFC-78C6-4DED-869D-CEB4BEC3AB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60960</xdr:colOff>
      <xdr:row>92</xdr:row>
      <xdr:rowOff>53340</xdr:rowOff>
    </xdr:from>
    <xdr:to>
      <xdr:col>17</xdr:col>
      <xdr:colOff>222614</xdr:colOff>
      <xdr:row>107</xdr:row>
      <xdr:rowOff>37948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2E091231-7198-45C7-BD20-365FC8BB73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342900</xdr:colOff>
      <xdr:row>91</xdr:row>
      <xdr:rowOff>175260</xdr:rowOff>
    </xdr:from>
    <xdr:to>
      <xdr:col>9</xdr:col>
      <xdr:colOff>262890</xdr:colOff>
      <xdr:row>106</xdr:row>
      <xdr:rowOff>156209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46EB954A-F835-48FE-894C-8D86980414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426720</xdr:colOff>
      <xdr:row>127</xdr:row>
      <xdr:rowOff>22860</xdr:rowOff>
    </xdr:from>
    <xdr:to>
      <xdr:col>14</xdr:col>
      <xdr:colOff>429049</xdr:colOff>
      <xdr:row>145</xdr:row>
      <xdr:rowOff>29527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65E4849E-729E-4EF9-A060-DA4C8D21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297180</xdr:colOff>
      <xdr:row>146</xdr:row>
      <xdr:rowOff>83820</xdr:rowOff>
    </xdr:from>
    <xdr:to>
      <xdr:col>15</xdr:col>
      <xdr:colOff>89537</xdr:colOff>
      <xdr:row>166</xdr:row>
      <xdr:rowOff>79059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A7EE065-17C8-476C-8FD4-69214F2C14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ss\Desktop\polito\TESI%20DTU\20250528%20PFAS%20AlesP%20no%20295%20final.xlsx" TargetMode="External"/><Relationship Id="rId1" Type="http://schemas.openxmlformats.org/officeDocument/2006/relationships/externalLinkPath" Target="/Users/aless/Desktop/polito/TESI%20DTU/20250528%20PFAS%20AlesP%20no%20295%20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ss\Desktop\polito\TESI%20DTU\20250613%20PFAS%20Alessp%20No%20334%20final.xlsx" TargetMode="External"/><Relationship Id="rId1" Type="http://schemas.openxmlformats.org/officeDocument/2006/relationships/externalLinkPath" Target="/Users/aless/Desktop/polito/TESI%20DTU/20250613%20PFAS%20Alessp%20No%20334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ss\Desktop\polito\TESI%20DTU\Bromide.xlsx" TargetMode="External"/><Relationship Id="rId1" Type="http://schemas.openxmlformats.org/officeDocument/2006/relationships/externalLinkPath" Target="/Users/aless/Desktop/polito/TESI%20DTU/Bromi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.1"/>
      <sheetName val="ex.2"/>
    </sheetNames>
    <sheetDataSet>
      <sheetData sheetId="0">
        <row r="55">
          <cell r="N55" t="str">
            <v>PFPeA</v>
          </cell>
          <cell r="O55" t="str">
            <v>PFBS</v>
          </cell>
          <cell r="P55" t="str">
            <v>PFHxA</v>
          </cell>
          <cell r="Q55" t="str">
            <v>PFHpA</v>
          </cell>
          <cell r="R55" t="str">
            <v>PFHxS</v>
          </cell>
          <cell r="S55" t="str">
            <v>6.2 FTS</v>
          </cell>
          <cell r="T55" t="str">
            <v>PFOA</v>
          </cell>
          <cell r="U55" t="str">
            <v>PFOS</v>
          </cell>
          <cell r="V55" t="str">
            <v>PFOSA</v>
          </cell>
          <cell r="W55" t="str">
            <v>6:2 FTAB</v>
          </cell>
        </row>
        <row r="56">
          <cell r="B56">
            <v>1</v>
          </cell>
          <cell r="M56">
            <v>1</v>
          </cell>
          <cell r="N56">
            <v>0.58752255595949332</v>
          </cell>
          <cell r="O56">
            <v>0.68908665620202036</v>
          </cell>
          <cell r="P56">
            <v>0.56576625846295592</v>
          </cell>
          <cell r="Q56">
            <v>0.56180758615928061</v>
          </cell>
          <cell r="R56">
            <v>0.54019380058556143</v>
          </cell>
          <cell r="S56">
            <v>0.34620346182729561</v>
          </cell>
          <cell r="T56">
            <v>0.5971783191942831</v>
          </cell>
          <cell r="U56">
            <v>0.57633236960409107</v>
          </cell>
          <cell r="V56">
            <v>1.5981004423627374</v>
          </cell>
          <cell r="W56">
            <v>0.5185390149418927</v>
          </cell>
        </row>
        <row r="57">
          <cell r="B57">
            <v>24</v>
          </cell>
          <cell r="M57">
            <v>24</v>
          </cell>
          <cell r="N57">
            <v>0.83166072305390548</v>
          </cell>
          <cell r="O57">
            <v>0.64074720322595047</v>
          </cell>
          <cell r="P57">
            <v>0.76811132127065451</v>
          </cell>
          <cell r="Q57">
            <v>0.67927978697398939</v>
          </cell>
          <cell r="R57">
            <v>0.39062674988489643</v>
          </cell>
          <cell r="S57">
            <v>0.23009126803131033</v>
          </cell>
          <cell r="T57">
            <v>0.30272890634794603</v>
          </cell>
          <cell r="U57">
            <v>0.30145227869044239</v>
          </cell>
          <cell r="V57">
            <v>3.8236187006678808</v>
          </cell>
          <cell r="W57">
            <v>0.46485888212506915</v>
          </cell>
        </row>
        <row r="58">
          <cell r="B58">
            <v>48</v>
          </cell>
          <cell r="M58">
            <v>48</v>
          </cell>
          <cell r="N58">
            <v>0.65782244410502511</v>
          </cell>
          <cell r="O58">
            <v>0.60466649950710827</v>
          </cell>
          <cell r="P58">
            <v>0.60705220794221537</v>
          </cell>
          <cell r="Q58">
            <v>0.41559105574392091</v>
          </cell>
          <cell r="R58">
            <v>0.19716391988438095</v>
          </cell>
          <cell r="S58">
            <v>8.7287436709006558E-2</v>
          </cell>
          <cell r="T58">
            <v>0.11377491746416483</v>
          </cell>
          <cell r="U58">
            <v>0.11773651753931515</v>
          </cell>
          <cell r="V58">
            <v>1.2245641425969294</v>
          </cell>
          <cell r="W58">
            <v>0.24349750968456005</v>
          </cell>
        </row>
        <row r="59">
          <cell r="B59">
            <v>72</v>
          </cell>
          <cell r="M59">
            <v>72</v>
          </cell>
          <cell r="N59">
            <v>0.77843375220466038</v>
          </cell>
          <cell r="O59">
            <v>0.77442390061104838</v>
          </cell>
          <cell r="P59">
            <v>0.68710748734031435</v>
          </cell>
          <cell r="Q59">
            <v>0.49393073669007292</v>
          </cell>
          <cell r="R59">
            <v>0.23744571468187869</v>
          </cell>
          <cell r="S59">
            <v>0.11633103435566428</v>
          </cell>
          <cell r="T59">
            <v>0.1359471770654854</v>
          </cell>
          <cell r="U59">
            <v>5.7940739007637417E-2</v>
          </cell>
          <cell r="V59">
            <v>0.74637869719836936</v>
          </cell>
          <cell r="W59">
            <v>0.14471499723298287</v>
          </cell>
        </row>
        <row r="60">
          <cell r="B60">
            <v>96</v>
          </cell>
          <cell r="M60">
            <v>96</v>
          </cell>
          <cell r="N60">
            <v>0.6396812385352566</v>
          </cell>
          <cell r="O60">
            <v>0.5934879902726875</v>
          </cell>
          <cell r="P60">
            <v>0.47455184769572728</v>
          </cell>
          <cell r="Q60">
            <v>0.2422984267499165</v>
          </cell>
          <cell r="R60">
            <v>8.5430824994622567E-2</v>
          </cell>
          <cell r="S60">
            <v>3.985201770996024E-2</v>
          </cell>
          <cell r="T60">
            <v>4.0145430231100343E-2</v>
          </cell>
          <cell r="U60">
            <v>1.9686815849725089E-2</v>
          </cell>
          <cell r="V60">
            <v>0.46005724694249284</v>
          </cell>
          <cell r="W60">
            <v>0.10132816823464307</v>
          </cell>
        </row>
        <row r="61">
          <cell r="B61">
            <v>120</v>
          </cell>
          <cell r="M61">
            <v>120</v>
          </cell>
          <cell r="N61">
            <v>0.54693371383321254</v>
          </cell>
          <cell r="O61">
            <v>0.53746320486090837</v>
          </cell>
          <cell r="P61">
            <v>0.4225084274985505</v>
          </cell>
          <cell r="Q61">
            <v>0.20644825404881906</v>
          </cell>
          <cell r="R61">
            <v>6.5007279521169262E-2</v>
          </cell>
          <cell r="S61">
            <v>2.5982133395990838E-2</v>
          </cell>
          <cell r="T61">
            <v>2.5859835346232603E-2</v>
          </cell>
          <cell r="U61">
            <v>1.0227785483897923E-2</v>
          </cell>
          <cell r="V61">
            <v>0.26212160638390147</v>
          </cell>
          <cell r="W61">
            <v>9.6624239070282239E-2</v>
          </cell>
        </row>
        <row r="62">
          <cell r="B62" t="str">
            <v>120+1</v>
          </cell>
          <cell r="M62" t="str">
            <v>120+1</v>
          </cell>
          <cell r="N62">
            <v>0.54488882127666227</v>
          </cell>
          <cell r="O62">
            <v>0.52735119650751017</v>
          </cell>
          <cell r="P62">
            <v>0.43016153792913303</v>
          </cell>
          <cell r="Q62">
            <v>0.21342347503344861</v>
          </cell>
          <cell r="R62">
            <v>6.7762653834325559E-2</v>
          </cell>
          <cell r="S62">
            <v>3.0188479311504562E-2</v>
          </cell>
          <cell r="T62">
            <v>2.8534414308997454E-2</v>
          </cell>
          <cell r="U62">
            <v>3.0365827163794979E-2</v>
          </cell>
          <cell r="W62">
            <v>0.10890979524073049</v>
          </cell>
        </row>
        <row r="64">
          <cell r="N64" t="str">
            <v>PFPeA</v>
          </cell>
          <cell r="O64" t="str">
            <v>PFBS</v>
          </cell>
          <cell r="P64" t="str">
            <v>PFHxA</v>
          </cell>
          <cell r="Q64" t="str">
            <v>PFHpA</v>
          </cell>
          <cell r="V64" t="str">
            <v>PFOSA</v>
          </cell>
        </row>
        <row r="65">
          <cell r="M65">
            <v>1</v>
          </cell>
          <cell r="N65">
            <v>3.5172695285201729E-3</v>
          </cell>
          <cell r="O65">
            <v>3.6941117473097045E-3</v>
          </cell>
          <cell r="P65">
            <v>3.6467156299321147E-3</v>
          </cell>
          <cell r="Q65">
            <v>4.9300518569799787E-3</v>
          </cell>
          <cell r="R65">
            <v>3.7348654399621713E-3</v>
          </cell>
          <cell r="S65">
            <v>3.8562010200273661E-3</v>
          </cell>
          <cell r="T65">
            <v>5.329098583308955E-3</v>
          </cell>
          <cell r="U65">
            <v>3.3424135568293867E-3</v>
          </cell>
          <cell r="V65">
            <v>3.3741000954115703E-2</v>
          </cell>
          <cell r="W65">
            <v>2.7670171555063645E-2</v>
          </cell>
        </row>
        <row r="66">
          <cell r="M66">
            <v>24</v>
          </cell>
          <cell r="N66">
            <v>3.6449479744289953E-3</v>
          </cell>
          <cell r="O66">
            <v>4.2883296294896935E-3</v>
          </cell>
          <cell r="P66">
            <v>5.1875494275201084E-3</v>
          </cell>
          <cell r="Q66">
            <v>1.6454654532494117E-2</v>
          </cell>
          <cell r="R66">
            <v>3.7355765043010504E-2</v>
          </cell>
          <cell r="S66">
            <v>3.5196472750894943E-2</v>
          </cell>
          <cell r="T66">
            <v>4.9056793012662456E-2</v>
          </cell>
          <cell r="U66">
            <v>1.1982552601233352E-2</v>
          </cell>
          <cell r="V66">
            <v>8.8559285280596756E-2</v>
          </cell>
          <cell r="W66">
            <v>3.9291643608190367E-2</v>
          </cell>
        </row>
        <row r="67">
          <cell r="M67">
            <v>48</v>
          </cell>
          <cell r="N67">
            <v>5.3332916793722568E-3</v>
          </cell>
          <cell r="O67">
            <v>6.6188315546869365E-3</v>
          </cell>
          <cell r="P67">
            <v>7.924288101881111E-3</v>
          </cell>
          <cell r="Q67">
            <v>2.3903847194516856E-2</v>
          </cell>
          <cell r="R67">
            <v>4.4288642347081172E-2</v>
          </cell>
          <cell r="S67">
            <v>6.3141260429480359E-2</v>
          </cell>
          <cell r="T67">
            <v>5.216097622132141E-2</v>
          </cell>
          <cell r="U67">
            <v>1.5124421344652974E-2</v>
          </cell>
          <cell r="V67">
            <v>8.2747853239656513E-2</v>
          </cell>
          <cell r="W67">
            <v>2.7670171555063645E-2</v>
          </cell>
        </row>
        <row r="68">
          <cell r="M68">
            <v>72</v>
          </cell>
          <cell r="N68">
            <v>3.7451891372808153E-2</v>
          </cell>
          <cell r="O68">
            <v>5.0381432923792414E-2</v>
          </cell>
          <cell r="P68">
            <v>5.5304360060407946E-2</v>
          </cell>
          <cell r="Q68">
            <v>8.9817632866017155E-2</v>
          </cell>
          <cell r="R68">
            <v>7.7084707317029807E-2</v>
          </cell>
          <cell r="S68">
            <v>5.2457233947469054E-2</v>
          </cell>
          <cell r="T68">
            <v>6.2371181411676212E-2</v>
          </cell>
          <cell r="U68">
            <v>9.3921820946905772E-3</v>
          </cell>
          <cell r="V68">
            <v>6.9303495533003731E-2</v>
          </cell>
          <cell r="W68">
            <v>1.7100166021029331E-2</v>
          </cell>
        </row>
        <row r="69">
          <cell r="M69">
            <v>96</v>
          </cell>
          <cell r="N69">
            <v>0.16483423194962951</v>
          </cell>
          <cell r="O69">
            <v>0.18876550376280746</v>
          </cell>
          <cell r="P69">
            <v>0.1798486624359924</v>
          </cell>
          <cell r="Q69">
            <v>0.154210603903362</v>
          </cell>
          <cell r="R69">
            <v>8.0771575914117655E-2</v>
          </cell>
          <cell r="S69">
            <v>3.6940286473810542E-2</v>
          </cell>
          <cell r="T69">
            <v>4.2326883697605414E-2</v>
          </cell>
          <cell r="U69">
            <v>4.0443204037635579E-3</v>
          </cell>
          <cell r="V69">
            <v>5.3950906409922797E-2</v>
          </cell>
          <cell r="W69">
            <v>1.8871057000553405E-2</v>
          </cell>
        </row>
        <row r="70">
          <cell r="M70">
            <v>120</v>
          </cell>
          <cell r="N70">
            <v>0.19235776587168724</v>
          </cell>
          <cell r="O70">
            <v>0.22001174696622575</v>
          </cell>
          <cell r="P70">
            <v>0.20720924137195476</v>
          </cell>
          <cell r="Q70">
            <v>0.15602251925276686</v>
          </cell>
          <cell r="R70">
            <v>6.4079340558932121E-2</v>
          </cell>
          <cell r="S70">
            <v>2.4489410420496373E-2</v>
          </cell>
          <cell r="T70">
            <v>2.6754147686907103E-2</v>
          </cell>
          <cell r="U70">
            <v>4.7462272506977295E-3</v>
          </cell>
          <cell r="V70">
            <v>4.1243819932344522E-2</v>
          </cell>
          <cell r="W70">
            <v>2.2080796900940787E-2</v>
          </cell>
        </row>
        <row r="71">
          <cell r="M71" t="str">
            <v>120+1</v>
          </cell>
          <cell r="N71">
            <v>0.18457141809325822</v>
          </cell>
          <cell r="O71">
            <v>0.21265615393334455</v>
          </cell>
          <cell r="P71">
            <v>0.19719155241841693</v>
          </cell>
          <cell r="Q71">
            <v>0.14747236875742911</v>
          </cell>
          <cell r="R71">
            <v>5.829483216215111E-2</v>
          </cell>
          <cell r="S71">
            <v>2.6392171497284071E-2</v>
          </cell>
          <cell r="T71">
            <v>2.7294078315015256E-2</v>
          </cell>
          <cell r="U71">
            <v>4.5791065728562601E-3</v>
          </cell>
          <cell r="W71">
            <v>2.6508024349750969E-2</v>
          </cell>
        </row>
        <row r="73">
          <cell r="N73" t="str">
            <v>PFPeA</v>
          </cell>
          <cell r="O73" t="str">
            <v>PFBS</v>
          </cell>
          <cell r="P73" t="str">
            <v>PFHxA</v>
          </cell>
          <cell r="Q73" t="str">
            <v>PFHpA</v>
          </cell>
          <cell r="R73" t="str">
            <v>PFHxS</v>
          </cell>
          <cell r="S73" t="str">
            <v>6.2 FTS</v>
          </cell>
          <cell r="T73" t="str">
            <v>PFOA</v>
          </cell>
          <cell r="U73" t="str">
            <v>PFOS</v>
          </cell>
          <cell r="V73" t="str">
            <v>PFOSA</v>
          </cell>
          <cell r="W73" t="str">
            <v>6:2 FTAB</v>
          </cell>
        </row>
        <row r="74">
          <cell r="M74">
            <v>1</v>
          </cell>
          <cell r="N74">
            <v>1.3107414925746155E-3</v>
          </cell>
          <cell r="O74">
            <v>1.1455009462833902E-3</v>
          </cell>
          <cell r="P74">
            <v>1.5850845472978109E-3</v>
          </cell>
          <cell r="Q74">
            <v>2.1104801855580456E-3</v>
          </cell>
          <cell r="R74">
            <v>1.3136913660790311E-3</v>
          </cell>
          <cell r="S74">
            <v>2.0732263548534227E-3</v>
          </cell>
          <cell r="T74">
            <v>2.0059342220736347E-3</v>
          </cell>
          <cell r="U74">
            <v>3.1585808112037702E-3</v>
          </cell>
          <cell r="V74">
            <v>6.939023332465955E-4</v>
          </cell>
          <cell r="W74">
            <v>2.7670171555063645E-2</v>
          </cell>
        </row>
        <row r="75">
          <cell r="M75">
            <v>24</v>
          </cell>
          <cell r="N75">
            <v>3.3040193582256497E-3</v>
          </cell>
          <cell r="O75">
            <v>4.9289171151923987E-3</v>
          </cell>
          <cell r="P75">
            <v>1.0720027775855201E-2</v>
          </cell>
          <cell r="Q75">
            <v>8.3060737417824687E-2</v>
          </cell>
          <cell r="R75">
            <v>0.10380828283295143</v>
          </cell>
          <cell r="S75">
            <v>0.22806872054290889</v>
          </cell>
          <cell r="T75">
            <v>9.4496217978185457E-2</v>
          </cell>
          <cell r="U75">
            <v>1.672877985193108E-2</v>
          </cell>
          <cell r="V75">
            <v>0.16874837366640644</v>
          </cell>
          <cell r="W75">
            <v>4.1505257332595462E-2</v>
          </cell>
        </row>
        <row r="76">
          <cell r="M76">
            <v>48</v>
          </cell>
          <cell r="N76">
            <v>2.6743201292540524E-2</v>
          </cell>
          <cell r="O76">
            <v>3.3453092852554961E-2</v>
          </cell>
          <cell r="P76">
            <v>6.1528965519588891E-2</v>
          </cell>
          <cell r="Q76">
            <v>0.15444945577228458</v>
          </cell>
          <cell r="R76">
            <v>0.10905593765387876</v>
          </cell>
          <cell r="S76">
            <v>5.1466692466816857E-2</v>
          </cell>
          <cell r="T76">
            <v>6.6697312883948354E-2</v>
          </cell>
          <cell r="U76">
            <v>3.3424135568293867E-3</v>
          </cell>
          <cell r="V76">
            <v>0.11796339665192125</v>
          </cell>
          <cell r="W76">
            <v>2.7670171555063645E-2</v>
          </cell>
        </row>
        <row r="77">
          <cell r="M77">
            <v>72</v>
          </cell>
          <cell r="N77">
            <v>2.9527678038424422E-2</v>
          </cell>
          <cell r="O77">
            <v>4.5941972734673125E-2</v>
          </cell>
          <cell r="P77">
            <v>7.6225887596287928E-2</v>
          </cell>
          <cell r="Q77">
            <v>0.22023075329774192</v>
          </cell>
          <cell r="R77">
            <v>0.13046252957583235</v>
          </cell>
          <cell r="S77">
            <v>5.2795860918761775E-2</v>
          </cell>
          <cell r="T77">
            <v>8.0551631911070259E-2</v>
          </cell>
          <cell r="U77">
            <v>6.1834650801343653E-3</v>
          </cell>
          <cell r="V77">
            <v>7.1211726949431869E-2</v>
          </cell>
          <cell r="W77">
            <v>1.9645821804095184E-2</v>
          </cell>
        </row>
        <row r="78">
          <cell r="M78">
            <v>96</v>
          </cell>
          <cell r="N78">
            <v>8.5359153356075482E-2</v>
          </cell>
          <cell r="O78">
            <v>0.11469950779524557</v>
          </cell>
          <cell r="P78">
            <v>0.12696788189815295</v>
          </cell>
          <cell r="Q78">
            <v>0.20644078992791526</v>
          </cell>
          <cell r="R78">
            <v>0.12184798511031274</v>
          </cell>
          <cell r="S78">
            <v>5.1305441528106031E-2</v>
          </cell>
          <cell r="T78">
            <v>6.1413347820636052E-2</v>
          </cell>
          <cell r="U78">
            <v>3.1251566756354768E-3</v>
          </cell>
          <cell r="V78">
            <v>6.9216757741347903E-2</v>
          </cell>
          <cell r="W78">
            <v>2.872163807415606E-2</v>
          </cell>
        </row>
        <row r="79">
          <cell r="M79">
            <v>120</v>
          </cell>
          <cell r="N79">
            <v>0.10376997777172588</v>
          </cell>
          <cell r="O79">
            <v>0.12384462404555899</v>
          </cell>
          <cell r="P79">
            <v>0.14796769922198105</v>
          </cell>
          <cell r="Q79">
            <v>0.22207065910053611</v>
          </cell>
          <cell r="R79">
            <v>0.12342299262092982</v>
          </cell>
          <cell r="S79">
            <v>5.1929713019400796E-2</v>
          </cell>
          <cell r="T79">
            <v>6.7785532199423307E-2</v>
          </cell>
          <cell r="U79">
            <v>8.0217925363905273E-3</v>
          </cell>
          <cell r="V79">
            <v>9.883771359181194E-2</v>
          </cell>
          <cell r="W79">
            <v>2.9994465965688989E-2</v>
          </cell>
        </row>
        <row r="80">
          <cell r="M80" t="str">
            <v>120+1</v>
          </cell>
          <cell r="N80">
            <v>9.9264558568751785E-2</v>
          </cell>
          <cell r="O80">
            <v>0.12422760262280216</v>
          </cell>
          <cell r="P80">
            <v>0.13955778750789988</v>
          </cell>
          <cell r="Q80">
            <v>0.21396648982920224</v>
          </cell>
          <cell r="R80">
            <v>0.12794536181620053</v>
          </cell>
          <cell r="S80">
            <v>5.2878789972955913E-2</v>
          </cell>
          <cell r="T80">
            <v>6.6712357390613902E-2</v>
          </cell>
          <cell r="U80">
            <v>3.3424135568293867E-3</v>
          </cell>
          <cell r="W80">
            <v>2.3464305478693968E-2</v>
          </cell>
        </row>
        <row r="82">
          <cell r="N82" t="str">
            <v>PFPeA</v>
          </cell>
          <cell r="O82" t="str">
            <v>PFBS</v>
          </cell>
          <cell r="P82" t="str">
            <v>PFHxA</v>
          </cell>
          <cell r="Q82" t="str">
            <v>PFHpA</v>
          </cell>
          <cell r="R82" t="str">
            <v>PFHxS</v>
          </cell>
          <cell r="S82" t="str">
            <v>6.2 FTS</v>
          </cell>
          <cell r="T82" t="str">
            <v>PFOA</v>
          </cell>
          <cell r="U82" t="str">
            <v>PFOS</v>
          </cell>
          <cell r="V82" t="str">
            <v>PFOSA</v>
          </cell>
          <cell r="W82" t="str">
            <v>6:2 FTAB</v>
          </cell>
        </row>
        <row r="83">
          <cell r="M83">
            <v>1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</row>
        <row r="84">
          <cell r="M84">
            <v>24</v>
          </cell>
          <cell r="N84">
            <v>9.6709631369235874E-4</v>
          </cell>
          <cell r="O84">
            <v>1.5645447707108974E-3</v>
          </cell>
          <cell r="P84">
            <v>1.8347041610454978E-3</v>
          </cell>
          <cell r="Q84">
            <v>3.7766585743155862E-2</v>
          </cell>
          <cell r="R84">
            <v>0.32196104434019451</v>
          </cell>
          <cell r="S84">
            <v>0.37906640313656109</v>
          </cell>
          <cell r="T84">
            <v>0.58654853942914453</v>
          </cell>
          <cell r="U84">
            <v>0.18105854237344787</v>
          </cell>
          <cell r="V84">
            <v>1.8936594674299589</v>
          </cell>
          <cell r="W84">
            <v>0.18262313226342006</v>
          </cell>
        </row>
        <row r="85">
          <cell r="M85">
            <v>48</v>
          </cell>
          <cell r="N85">
            <v>1.5368953355939662E-3</v>
          </cell>
          <cell r="O85">
            <v>1.9114581007697352E-3</v>
          </cell>
          <cell r="P85">
            <v>4.2571490490060033E-3</v>
          </cell>
          <cell r="Q85">
            <v>0.11500904091644476</v>
          </cell>
          <cell r="R85">
            <v>0.69175538675678228</v>
          </cell>
          <cell r="S85">
            <v>0.61650610680340734</v>
          </cell>
          <cell r="T85">
            <v>0.92773120481424221</v>
          </cell>
          <cell r="U85">
            <v>0.44875244413991344</v>
          </cell>
          <cell r="V85">
            <v>2.5780206435944142</v>
          </cell>
          <cell r="W85">
            <v>0.26452684006640842</v>
          </cell>
        </row>
        <row r="86">
          <cell r="M86">
            <v>72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</row>
        <row r="87">
          <cell r="M87">
            <v>96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</row>
        <row r="88">
          <cell r="M88">
            <v>120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</row>
        <row r="91">
          <cell r="C91" t="str">
            <v>PFPeA</v>
          </cell>
          <cell r="D91" t="str">
            <v>PFBS</v>
          </cell>
          <cell r="E91" t="str">
            <v>PFHxA</v>
          </cell>
          <cell r="F91" t="str">
            <v>PFHpA</v>
          </cell>
          <cell r="G91" t="str">
            <v>PFHxS</v>
          </cell>
          <cell r="H91" t="str">
            <v>6.2 FTS</v>
          </cell>
          <cell r="I91" t="str">
            <v>PFOA</v>
          </cell>
          <cell r="J91" t="str">
            <v>PFOS</v>
          </cell>
          <cell r="L91" t="str">
            <v>6:2 FTAB</v>
          </cell>
        </row>
        <row r="92">
          <cell r="C92">
            <v>0.65782244410502511</v>
          </cell>
          <cell r="D92">
            <v>0.60466649950710827</v>
          </cell>
          <cell r="E92">
            <v>0.60705220794221537</v>
          </cell>
          <cell r="F92">
            <v>0.41559105574392091</v>
          </cell>
          <cell r="G92">
            <v>0.19716391988438095</v>
          </cell>
          <cell r="H92">
            <v>8.7287436709006558E-2</v>
          </cell>
          <cell r="I92">
            <v>0.11377491746416483</v>
          </cell>
          <cell r="J92">
            <v>0.11773651753931515</v>
          </cell>
          <cell r="L92">
            <v>0.24349750968456005</v>
          </cell>
        </row>
        <row r="93">
          <cell r="C93">
            <v>5.3332916793722568E-3</v>
          </cell>
          <cell r="D93">
            <v>6.6188315546869365E-3</v>
          </cell>
          <cell r="E93">
            <v>7.924288101881111E-3</v>
          </cell>
          <cell r="F93">
            <v>2.3903847194516856E-2</v>
          </cell>
          <cell r="G93">
            <v>4.4288642347081172E-2</v>
          </cell>
          <cell r="H93">
            <v>6.3141260429480359E-2</v>
          </cell>
          <cell r="I93">
            <v>5.216097622132141E-2</v>
          </cell>
          <cell r="J93">
            <v>1.5124421344652974E-2</v>
          </cell>
          <cell r="L93">
            <v>2.7670171555063645E-2</v>
          </cell>
        </row>
        <row r="94">
          <cell r="C94">
            <v>2.6743201292540524E-2</v>
          </cell>
          <cell r="D94">
            <v>3.3453092852554961E-2</v>
          </cell>
          <cell r="E94">
            <v>6.1528965519588891E-2</v>
          </cell>
          <cell r="F94">
            <v>0.15444945577228458</v>
          </cell>
          <cell r="G94">
            <v>0.10905593765387876</v>
          </cell>
          <cell r="H94">
            <v>5.1466692466816857E-2</v>
          </cell>
          <cell r="I94">
            <v>6.6697312883948354E-2</v>
          </cell>
          <cell r="J94">
            <v>3.3424135568293867E-3</v>
          </cell>
          <cell r="L94">
            <v>2.7670171555063645E-2</v>
          </cell>
        </row>
        <row r="95">
          <cell r="C95">
            <v>1.5368953355939662E-3</v>
          </cell>
          <cell r="D95">
            <v>1.9114581007697352E-3</v>
          </cell>
          <cell r="E95">
            <v>4.2571490490060033E-3</v>
          </cell>
          <cell r="F95">
            <v>0.11500904091644476</v>
          </cell>
          <cell r="G95">
            <v>0.69175538675678228</v>
          </cell>
          <cell r="H95">
            <v>0.61650610680340734</v>
          </cell>
          <cell r="I95">
            <v>0.92773120481424221</v>
          </cell>
          <cell r="J95">
            <v>0.44875244413991344</v>
          </cell>
          <cell r="L95">
            <v>0.26452684006640842</v>
          </cell>
        </row>
        <row r="97">
          <cell r="C97" t="str">
            <v>PFPeA</v>
          </cell>
          <cell r="D97" t="str">
            <v>PFBS</v>
          </cell>
          <cell r="E97" t="str">
            <v>PFHxA</v>
          </cell>
          <cell r="F97" t="str">
            <v>PFHpA</v>
          </cell>
          <cell r="G97" t="str">
            <v>PFHxS</v>
          </cell>
          <cell r="H97" t="str">
            <v>6.2 FTS</v>
          </cell>
          <cell r="I97" t="str">
            <v>PFOA</v>
          </cell>
          <cell r="J97" t="str">
            <v>PFOS</v>
          </cell>
          <cell r="K97" t="str">
            <v>PFOSA</v>
          </cell>
          <cell r="L97" t="str">
            <v>6:2 FTAB</v>
          </cell>
        </row>
        <row r="98">
          <cell r="C98">
            <v>0.54693371383321254</v>
          </cell>
          <cell r="D98">
            <v>0.53746320486090837</v>
          </cell>
          <cell r="E98">
            <v>0.4225084274985505</v>
          </cell>
          <cell r="F98">
            <v>0.20644825404881906</v>
          </cell>
          <cell r="G98">
            <v>6.5007279521169262E-2</v>
          </cell>
          <cell r="H98">
            <v>2.5982133395990838E-2</v>
          </cell>
          <cell r="I98">
            <v>2.5859835346232603E-2</v>
          </cell>
          <cell r="J98">
            <v>1.0227785483897923E-2</v>
          </cell>
          <cell r="K98">
            <v>0.26212160638390147</v>
          </cell>
          <cell r="L98">
            <v>9.6624239070282239E-2</v>
          </cell>
        </row>
        <row r="99">
          <cell r="C99">
            <v>0.19235776587168724</v>
          </cell>
          <cell r="D99">
            <v>0.22001174696622575</v>
          </cell>
          <cell r="E99">
            <v>0.20720924137195476</v>
          </cell>
          <cell r="F99">
            <v>0.15602251925276686</v>
          </cell>
          <cell r="G99">
            <v>6.4079340558932121E-2</v>
          </cell>
          <cell r="H99">
            <v>2.4489410420496373E-2</v>
          </cell>
          <cell r="I99">
            <v>2.6754147686907103E-2</v>
          </cell>
          <cell r="J99">
            <v>4.7462272506977295E-3</v>
          </cell>
          <cell r="K99">
            <v>4.1243819932344522E-2</v>
          </cell>
          <cell r="L99">
            <v>2.2080796900940787E-2</v>
          </cell>
        </row>
        <row r="100">
          <cell r="C100">
            <v>0.10376997777172588</v>
          </cell>
          <cell r="D100">
            <v>0.12384462404555899</v>
          </cell>
          <cell r="E100">
            <v>0.14796769922198105</v>
          </cell>
          <cell r="F100">
            <v>0.22207065910053611</v>
          </cell>
          <cell r="G100">
            <v>0.12342299262092982</v>
          </cell>
          <cell r="H100">
            <v>5.1929713019400796E-2</v>
          </cell>
          <cell r="I100">
            <v>6.7785532199423307E-2</v>
          </cell>
          <cell r="J100">
            <v>8.0217925363905273E-3</v>
          </cell>
          <cell r="K100">
            <v>9.883771359181194E-2</v>
          </cell>
          <cell r="L100">
            <v>2.9994465965688989E-2</v>
          </cell>
        </row>
        <row r="102">
          <cell r="C102" t="str">
            <v>PFPeA</v>
          </cell>
          <cell r="D102" t="str">
            <v>PFBS</v>
          </cell>
          <cell r="E102" t="str">
            <v>PFHxA</v>
          </cell>
          <cell r="F102" t="str">
            <v>PFHpA</v>
          </cell>
          <cell r="G102" t="str">
            <v>PFHxS</v>
          </cell>
          <cell r="H102" t="str">
            <v>6.2 FTS</v>
          </cell>
          <cell r="I102" t="str">
            <v>PFOA</v>
          </cell>
          <cell r="J102" t="str">
            <v>PFOS</v>
          </cell>
          <cell r="K102" t="str">
            <v>PFOSA</v>
          </cell>
          <cell r="L102" t="str">
            <v>6:2 FTAB</v>
          </cell>
        </row>
        <row r="103">
          <cell r="B103">
            <v>1</v>
          </cell>
          <cell r="C103">
            <v>80.232100000000003</v>
          </cell>
          <cell r="D103">
            <v>30.706499999999998</v>
          </cell>
          <cell r="E103">
            <v>37.911900000000003</v>
          </cell>
          <cell r="F103">
            <v>11.4373</v>
          </cell>
          <cell r="G103">
            <v>3.8119000000000001</v>
          </cell>
          <cell r="H103">
            <v>1.3105</v>
          </cell>
          <cell r="I103">
            <v>1.7070000000000001</v>
          </cell>
          <cell r="J103">
            <v>0.1817</v>
          </cell>
          <cell r="K103">
            <v>1.5492999999999999</v>
          </cell>
          <cell r="L103">
            <v>0.1968</v>
          </cell>
        </row>
        <row r="104">
          <cell r="B104">
            <v>2</v>
          </cell>
          <cell r="C104">
            <v>27.177199999999999</v>
          </cell>
          <cell r="D104">
            <v>12.3825</v>
          </cell>
          <cell r="E104">
            <v>17.379300000000001</v>
          </cell>
          <cell r="F104">
            <v>7.9029999999999996</v>
          </cell>
          <cell r="G104">
            <v>3.2793000000000001</v>
          </cell>
          <cell r="H104">
            <v>1.1456999999999999</v>
          </cell>
          <cell r="I104">
            <v>1.6328</v>
          </cell>
          <cell r="J104">
            <v>2.7400000000000001E-2</v>
          </cell>
          <cell r="K104">
            <v>0.1338</v>
          </cell>
          <cell r="L104">
            <v>4.7899999999999998E-2</v>
          </cell>
        </row>
        <row r="105">
          <cell r="B105">
            <v>3</v>
          </cell>
          <cell r="C105">
            <v>14.616199999999999</v>
          </cell>
          <cell r="D105">
            <v>7.2335000000000003</v>
          </cell>
          <cell r="E105">
            <v>12.299799999999999</v>
          </cell>
          <cell r="F105">
            <v>11.4664</v>
          </cell>
          <cell r="G105">
            <v>7.1974</v>
          </cell>
          <cell r="H105">
            <v>2.2955000000000001</v>
          </cell>
          <cell r="I105">
            <v>3.9908999999999999</v>
          </cell>
          <cell r="J105">
            <v>0.02</v>
          </cell>
          <cell r="K105">
            <v>0.1303</v>
          </cell>
          <cell r="L105">
            <v>4.24E-2</v>
          </cell>
        </row>
      </sheetData>
      <sheetData sheetId="1">
        <row r="55">
          <cell r="P55" t="str">
            <v>PFPeA</v>
          </cell>
          <cell r="Q55" t="str">
            <v>PFBS</v>
          </cell>
          <cell r="R55" t="str">
            <v>PFHxA</v>
          </cell>
          <cell r="S55" t="str">
            <v>PFHpA</v>
          </cell>
          <cell r="T55" t="str">
            <v>PFHxS</v>
          </cell>
          <cell r="U55" t="str">
            <v>6.2 FTS</v>
          </cell>
          <cell r="V55" t="str">
            <v>PFOA</v>
          </cell>
          <cell r="W55" t="str">
            <v>PFOS</v>
          </cell>
          <cell r="X55" t="str">
            <v>PFOSA</v>
          </cell>
          <cell r="Y55" t="str">
            <v>6:2 FTAB</v>
          </cell>
        </row>
        <row r="56">
          <cell r="O56">
            <v>1</v>
          </cell>
          <cell r="P56">
            <v>1.14183105832528</v>
          </cell>
          <cell r="Q56">
            <v>1.1376541789317129</v>
          </cell>
          <cell r="R56">
            <v>1.1510017121636233</v>
          </cell>
          <cell r="S56">
            <v>1.0471583158704005</v>
          </cell>
          <cell r="T56">
            <v>0.91547755969829536</v>
          </cell>
          <cell r="U56">
            <v>0.77901480283617364</v>
          </cell>
          <cell r="V56">
            <v>0.8495649630155877</v>
          </cell>
          <cell r="W56">
            <v>0.30818724200745362</v>
          </cell>
          <cell r="X56">
            <v>0.830991412958626</v>
          </cell>
          <cell r="Y56">
            <v>0.30420586607636968</v>
          </cell>
        </row>
        <row r="57">
          <cell r="O57">
            <v>24</v>
          </cell>
          <cell r="P57">
            <v>0.69266915186875744</v>
          </cell>
          <cell r="Q57">
            <v>0.71050941302951509</v>
          </cell>
          <cell r="R57">
            <v>0.67392870636904434</v>
          </cell>
          <cell r="S57">
            <v>0.63756841333315917</v>
          </cell>
          <cell r="T57">
            <v>0.53841080675582231</v>
          </cell>
          <cell r="U57">
            <v>0.3433700524756626</v>
          </cell>
          <cell r="V57">
            <v>0.4563684232521209</v>
          </cell>
          <cell r="W57">
            <v>7.5454986045423403E-2</v>
          </cell>
          <cell r="X57">
            <v>0.19442275999653047</v>
          </cell>
          <cell r="Y57">
            <v>0.14122855561704481</v>
          </cell>
        </row>
        <row r="58">
          <cell r="O58">
            <v>48</v>
          </cell>
          <cell r="P58">
            <v>0.44143532305702948</v>
          </cell>
          <cell r="Q58">
            <v>0.48410037816987755</v>
          </cell>
          <cell r="R58">
            <v>0.45564429658894801</v>
          </cell>
          <cell r="S58">
            <v>0.48176795167728126</v>
          </cell>
          <cell r="T58">
            <v>0.38792470539715607</v>
          </cell>
          <cell r="U58">
            <v>0.23947146549460269</v>
          </cell>
          <cell r="V58">
            <v>0.30833382088679007</v>
          </cell>
          <cell r="W58">
            <v>6.4759262663569364E-2</v>
          </cell>
          <cell r="X58">
            <v>0.11453725388151617</v>
          </cell>
          <cell r="Y58">
            <v>0.11001660210293304</v>
          </cell>
        </row>
        <row r="59">
          <cell r="O59">
            <v>72</v>
          </cell>
          <cell r="P59">
            <v>0.29305259469088574</v>
          </cell>
          <cell r="Q59">
            <v>0.33110301265031478</v>
          </cell>
          <cell r="R59">
            <v>0.31780207660825943</v>
          </cell>
          <cell r="S59">
            <v>0.36213675389113953</v>
          </cell>
          <cell r="T59">
            <v>0.30028958095200847</v>
          </cell>
          <cell r="U59">
            <v>0.25874095267054592</v>
          </cell>
          <cell r="V59">
            <v>0.28854862300973716</v>
          </cell>
          <cell r="W59">
            <v>0.23903270551665357</v>
          </cell>
          <cell r="X59">
            <v>0.64983953508543668</v>
          </cell>
          <cell r="Y59">
            <v>0.30581073602656339</v>
          </cell>
        </row>
        <row r="60">
          <cell r="O60">
            <v>96</v>
          </cell>
          <cell r="P60">
            <v>0.30822799295595293</v>
          </cell>
          <cell r="Q60">
            <v>0.36358577861433883</v>
          </cell>
          <cell r="R60">
            <v>0.3430363502889347</v>
          </cell>
          <cell r="S60">
            <v>0.33604032118112248</v>
          </cell>
          <cell r="T60">
            <v>0.24660422336664078</v>
          </cell>
          <cell r="U60">
            <v>0.17873975480642976</v>
          </cell>
          <cell r="V60">
            <v>0.20790672405867358</v>
          </cell>
          <cell r="W60">
            <v>0.15212995303908952</v>
          </cell>
          <cell r="X60">
            <v>0.26129759736317115</v>
          </cell>
          <cell r="Y60">
            <v>0.159988931931378</v>
          </cell>
        </row>
        <row r="61">
          <cell r="O61">
            <v>120</v>
          </cell>
          <cell r="P61">
            <v>0.32212728590260176</v>
          </cell>
          <cell r="Q61">
            <v>0.36729878168160224</v>
          </cell>
          <cell r="R61">
            <v>0.34617474961450784</v>
          </cell>
          <cell r="S61">
            <v>0.30828871966068105</v>
          </cell>
          <cell r="T61">
            <v>0.20497496164696721</v>
          </cell>
          <cell r="U61">
            <v>0.1349923751341838</v>
          </cell>
          <cell r="V61">
            <v>0.1512557984036107</v>
          </cell>
          <cell r="W61">
            <v>8.051874258401992E-2</v>
          </cell>
          <cell r="X61">
            <v>0.14415820973198021</v>
          </cell>
          <cell r="Y61">
            <v>0.12562257885998895</v>
          </cell>
        </row>
        <row r="63">
          <cell r="P63" t="str">
            <v>PFPeA</v>
          </cell>
          <cell r="Q63" t="str">
            <v>PFBS</v>
          </cell>
          <cell r="R63" t="str">
            <v>PFHxA</v>
          </cell>
          <cell r="S63" t="str">
            <v>PFHpA</v>
          </cell>
        </row>
        <row r="64">
          <cell r="O64">
            <v>1</v>
          </cell>
          <cell r="P64">
            <v>7.857657548750415E-4</v>
          </cell>
          <cell r="Q64">
            <v>1.2296531897135045E-3</v>
          </cell>
          <cell r="R64">
            <v>1.1425770501996388E-3</v>
          </cell>
          <cell r="S64">
            <v>1.6290443872609848E-3</v>
          </cell>
          <cell r="T64">
            <v>1.8203247075303491E-3</v>
          </cell>
          <cell r="U64">
            <v>1.4604727877523E-3</v>
          </cell>
          <cell r="V64">
            <v>2.4455681390781062E-3</v>
          </cell>
          <cell r="W64">
            <v>3.3424135568293867E-3</v>
          </cell>
          <cell r="X64">
            <v>8.6737791655824448E-3</v>
          </cell>
          <cell r="Y64">
            <v>1.1068068622025458E-2</v>
          </cell>
        </row>
        <row r="65">
          <cell r="O65">
            <v>24</v>
          </cell>
          <cell r="P65">
            <v>1.343340244721549E-3</v>
          </cell>
          <cell r="Q65">
            <v>2.1707844019523324E-3</v>
          </cell>
          <cell r="R65">
            <v>7.2208146449558109E-3</v>
          </cell>
          <cell r="S65">
            <v>0.22614606911402749</v>
          </cell>
          <cell r="T65">
            <v>0.25114436917038346</v>
          </cell>
          <cell r="U65">
            <v>0.15301331932753751</v>
          </cell>
          <cell r="V65">
            <v>0.19175895357098083</v>
          </cell>
          <cell r="W65">
            <v>3.7685712853251334E-2</v>
          </cell>
          <cell r="X65">
            <v>0.12876225171307137</v>
          </cell>
          <cell r="Y65">
            <v>5.6281128942999449E-2</v>
          </cell>
        </row>
        <row r="66">
          <cell r="O66">
            <v>48</v>
          </cell>
          <cell r="P66">
            <v>2.623520407158414E-3</v>
          </cell>
          <cell r="Q66">
            <v>6.4041574643039926E-3</v>
          </cell>
          <cell r="R66">
            <v>2.0199899925227579E-2</v>
          </cell>
          <cell r="S66">
            <v>0.23544636376020017</v>
          </cell>
          <cell r="T66">
            <v>0.14115160425003154</v>
          </cell>
          <cell r="U66">
            <v>6.347988740077308E-2</v>
          </cell>
          <cell r="V66">
            <v>8.1536211291738062E-2</v>
          </cell>
          <cell r="W66">
            <v>9.7097113825893675E-3</v>
          </cell>
          <cell r="X66">
            <v>3.0618440454506027E-2</v>
          </cell>
          <cell r="Y66">
            <v>2.4460431654676262E-2</v>
          </cell>
        </row>
        <row r="67">
          <cell r="O67">
            <v>72</v>
          </cell>
          <cell r="P67">
            <v>5.857588276402103E-3</v>
          </cell>
          <cell r="Q67">
            <v>1.5166295137374244E-2</v>
          </cell>
          <cell r="R67">
            <v>3.4922918597909323E-2</v>
          </cell>
          <cell r="S67">
            <v>0.13449972662657189</v>
          </cell>
          <cell r="T67">
            <v>7.8035755870280527E-2</v>
          </cell>
          <cell r="U67">
            <v>3.7631361925428347E-2</v>
          </cell>
          <cell r="V67">
            <v>4.1949099419114885E-2</v>
          </cell>
          <cell r="W67">
            <v>9.3921820946905772E-3</v>
          </cell>
          <cell r="X67">
            <v>1.7651140601960272E-2</v>
          </cell>
          <cell r="Y67">
            <v>1.6989485334809078E-2</v>
          </cell>
        </row>
        <row r="68">
          <cell r="O68">
            <v>96</v>
          </cell>
          <cell r="P68">
            <v>3.2980429203320456E-2</v>
          </cell>
          <cell r="Q68">
            <v>7.3600582539611659E-2</v>
          </cell>
          <cell r="R68">
            <v>0.13335587474087782</v>
          </cell>
          <cell r="S68">
            <v>0.27407692149797441</v>
          </cell>
          <cell r="T68">
            <v>9.9740994814563305E-2</v>
          </cell>
          <cell r="U68">
            <v>3.4178288252178037E-2</v>
          </cell>
          <cell r="V68">
            <v>4.45802164737348E-2</v>
          </cell>
          <cell r="W68">
            <v>5.047044470812374E-3</v>
          </cell>
          <cell r="X68">
            <v>8.9773614363778294E-3</v>
          </cell>
          <cell r="Y68">
            <v>2.0309905921416717E-2</v>
          </cell>
        </row>
        <row r="69">
          <cell r="O69">
            <v>120</v>
          </cell>
          <cell r="P69">
            <v>3.2456132606290607E-2</v>
          </cell>
          <cell r="Q69">
            <v>6.3931661508763851E-2</v>
          </cell>
          <cell r="R69">
            <v>0.11286777762523245</v>
          </cell>
          <cell r="S69">
            <v>0.177185168045352</v>
          </cell>
          <cell r="T69">
            <v>6.4639303725799374E-2</v>
          </cell>
          <cell r="U69">
            <v>2.0854353544986708E-2</v>
          </cell>
          <cell r="V69">
            <v>2.9442099544485772E-2</v>
          </cell>
          <cell r="W69">
            <v>5.4815582332001945E-3</v>
          </cell>
          <cell r="X69">
            <v>9.454419290484864E-3</v>
          </cell>
          <cell r="Y69">
            <v>1.8649695628112896E-2</v>
          </cell>
        </row>
        <row r="71">
          <cell r="U71" t="str">
            <v>6.2 FTS</v>
          </cell>
          <cell r="X71" t="str">
            <v>PFOSA</v>
          </cell>
          <cell r="Y71" t="str">
            <v>6:2 FTAB</v>
          </cell>
        </row>
        <row r="72">
          <cell r="O72">
            <v>1</v>
          </cell>
          <cell r="P72">
            <v>8.2651419505870832E-4</v>
          </cell>
          <cell r="Q72">
            <v>1.0063921357152425E-3</v>
          </cell>
          <cell r="R72">
            <v>9.4401599380943349E-4</v>
          </cell>
          <cell r="S72">
            <v>1.1345463773822209E-3</v>
          </cell>
          <cell r="T72">
            <v>1.1359252813592706E-3</v>
          </cell>
          <cell r="U72">
            <v>9.5138053839384853E-4</v>
          </cell>
          <cell r="V72">
            <v>1.4325713569309207E-3</v>
          </cell>
          <cell r="W72">
            <v>3.3424135568293867E-3</v>
          </cell>
          <cell r="X72">
            <v>8.6737791655824448E-3</v>
          </cell>
          <cell r="Y72">
            <v>1.1068068622025458E-2</v>
          </cell>
        </row>
        <row r="73">
          <cell r="O73">
            <v>24</v>
          </cell>
          <cell r="P73">
            <v>8.2787247639816387E-4</v>
          </cell>
          <cell r="Q73">
            <v>1.1077183063759922E-3</v>
          </cell>
          <cell r="R73">
            <v>1.4001391062029339E-3</v>
          </cell>
          <cell r="S73">
            <v>6.5880197127433066E-2</v>
          </cell>
          <cell r="T73">
            <v>0.1956386868774854</v>
          </cell>
          <cell r="U73">
            <v>0.15330587460205572</v>
          </cell>
          <cell r="V73">
            <v>0.18654686781729285</v>
          </cell>
          <cell r="W73">
            <v>5.1272623961762791E-2</v>
          </cell>
          <cell r="X73">
            <v>0.14233671610720791</v>
          </cell>
          <cell r="Y73">
            <v>6.568898727172108E-2</v>
          </cell>
        </row>
        <row r="74">
          <cell r="O74">
            <v>48</v>
          </cell>
          <cell r="P74">
            <v>7.9051973956313594E-4</v>
          </cell>
          <cell r="Q74">
            <v>1.3052184695283009E-3</v>
          </cell>
          <cell r="R74">
            <v>1.7915880459436245E-3</v>
          </cell>
          <cell r="S74">
            <v>7.159024961886333E-2</v>
          </cell>
          <cell r="T74">
            <v>9.8023774436170413E-2</v>
          </cell>
          <cell r="U74">
            <v>5.6258148931366991E-2</v>
          </cell>
          <cell r="V74">
            <v>6.7845710226085501E-2</v>
          </cell>
          <cell r="W74">
            <v>3.3424135568293867E-3</v>
          </cell>
          <cell r="X74">
            <v>1.3357619914996965E-2</v>
          </cell>
          <cell r="Y74">
            <v>1.1068068622025458E-2</v>
          </cell>
        </row>
        <row r="75">
          <cell r="O75">
            <v>72</v>
          </cell>
          <cell r="P75">
            <v>8.0274427161823602E-4</v>
          </cell>
          <cell r="Q75">
            <v>9.9780517209992464E-4</v>
          </cell>
          <cell r="R75">
            <v>2.3793287728586326E-3</v>
          </cell>
          <cell r="S75">
            <v>9.3986344390806442E-2</v>
          </cell>
          <cell r="T75">
            <v>8.5788134824909296E-2</v>
          </cell>
          <cell r="U75">
            <v>4.2521872538043702E-2</v>
          </cell>
          <cell r="V75">
            <v>5.4598186301140876E-2</v>
          </cell>
          <cell r="W75">
            <v>3.3424135568293867E-3</v>
          </cell>
          <cell r="X75">
            <v>1.7043976060369503E-2</v>
          </cell>
          <cell r="Y75">
            <v>1.6823464305478694E-2</v>
          </cell>
        </row>
        <row r="76">
          <cell r="O76">
            <v>96</v>
          </cell>
          <cell r="P76">
            <v>1.1429937471518538E-3</v>
          </cell>
          <cell r="Q76">
            <v>3.1239373632526045E-3</v>
          </cell>
          <cell r="R76">
            <v>9.9371298963738218E-3</v>
          </cell>
          <cell r="S76">
            <v>0.12526660906853368</v>
          </cell>
          <cell r="T76">
            <v>6.9613198776258267E-2</v>
          </cell>
          <cell r="U76">
            <v>2.609270546824969E-2</v>
          </cell>
          <cell r="V76">
            <v>3.3774917464164826E-2</v>
          </cell>
          <cell r="W76">
            <v>3.3424135568293867E-3</v>
          </cell>
          <cell r="X76">
            <v>8.6737791655824448E-3</v>
          </cell>
          <cell r="Y76">
            <v>1.1068068622025458E-2</v>
          </cell>
        </row>
        <row r="77">
          <cell r="O77">
            <v>120</v>
          </cell>
          <cell r="P77">
            <v>1.36439360548311E-3</v>
          </cell>
          <cell r="Q77">
            <v>5.3943305431426222E-3</v>
          </cell>
          <cell r="R77">
            <v>1.6858401004832407E-2</v>
          </cell>
          <cell r="S77">
            <v>0.15887381343803006</v>
          </cell>
          <cell r="T77">
            <v>8.1228434751847434E-2</v>
          </cell>
          <cell r="U77">
            <v>3.2215633969583463E-2</v>
          </cell>
          <cell r="V77">
            <v>4.2905261398303314E-2</v>
          </cell>
          <cell r="W77">
            <v>3.3424135568293867E-3</v>
          </cell>
          <cell r="X77">
            <v>1.0061583832075635E-2</v>
          </cell>
          <cell r="Y77">
            <v>1.7100166021029331E-2</v>
          </cell>
        </row>
        <row r="79">
          <cell r="D79" t="str">
            <v>PFPeA</v>
          </cell>
          <cell r="E79" t="str">
            <v>PFBS</v>
          </cell>
          <cell r="F79" t="str">
            <v>PFHxA</v>
          </cell>
          <cell r="G79" t="str">
            <v>PFHpA</v>
          </cell>
          <cell r="H79" t="str">
            <v>PFHxS</v>
          </cell>
          <cell r="I79" t="str">
            <v>6.2 FTS</v>
          </cell>
          <cell r="J79" t="str">
            <v>PFOA</v>
          </cell>
          <cell r="K79" t="str">
            <v>PFOS</v>
          </cell>
          <cell r="L79" t="str">
            <v>PFOSA</v>
          </cell>
          <cell r="M79" t="str">
            <v>6:2 FTAB</v>
          </cell>
        </row>
        <row r="80">
          <cell r="D80">
            <v>0.44143532305702948</v>
          </cell>
          <cell r="E80">
            <v>0.48410037816987755</v>
          </cell>
          <cell r="F80">
            <v>0.45564429658894801</v>
          </cell>
          <cell r="G80">
            <v>0.48176795167728126</v>
          </cell>
          <cell r="H80">
            <v>0.38792470539715607</v>
          </cell>
          <cell r="I80">
            <v>0.23947146549460269</v>
          </cell>
          <cell r="J80">
            <v>0.30833382088679007</v>
          </cell>
          <cell r="K80">
            <v>6.4759262663569364E-2</v>
          </cell>
          <cell r="L80">
            <v>0.11453725388151617</v>
          </cell>
          <cell r="M80">
            <v>0.11001660210293304</v>
          </cell>
        </row>
        <row r="81">
          <cell r="D81">
            <v>2.623520407158414E-3</v>
          </cell>
          <cell r="E81">
            <v>6.4041574643039926E-3</v>
          </cell>
          <cell r="F81">
            <v>2.0199899925227579E-2</v>
          </cell>
          <cell r="G81">
            <v>0.23544636376020017</v>
          </cell>
          <cell r="H81">
            <v>0.14115160425003154</v>
          </cell>
          <cell r="I81">
            <v>6.347988740077308E-2</v>
          </cell>
          <cell r="J81">
            <v>8.1536211291738062E-2</v>
          </cell>
          <cell r="K81">
            <v>9.7097113825893675E-3</v>
          </cell>
          <cell r="L81">
            <v>3.0618440454506027E-2</v>
          </cell>
          <cell r="M81">
            <v>2.4460431654676262E-2</v>
          </cell>
        </row>
        <row r="82">
          <cell r="D82">
            <v>7.9051973956313594E-4</v>
          </cell>
          <cell r="E82">
            <v>1.3052184695283009E-3</v>
          </cell>
          <cell r="F82">
            <v>1.7915880459436245E-3</v>
          </cell>
          <cell r="G82">
            <v>7.159024961886333E-2</v>
          </cell>
          <cell r="H82">
            <v>9.8023774436170413E-2</v>
          </cell>
          <cell r="I82">
            <v>5.6258148931366991E-2</v>
          </cell>
          <cell r="J82">
            <v>6.7845710226085501E-2</v>
          </cell>
          <cell r="K82">
            <v>3.3424135568293867E-3</v>
          </cell>
          <cell r="L82">
            <v>1.3357619914996965E-2</v>
          </cell>
          <cell r="M82">
            <v>1.1068068622025458E-2</v>
          </cell>
        </row>
        <row r="83">
          <cell r="D83" t="str">
            <v>PFPeA</v>
          </cell>
          <cell r="E83" t="str">
            <v>PFBS</v>
          </cell>
          <cell r="F83" t="str">
            <v>PFHxA</v>
          </cell>
          <cell r="G83" t="str">
            <v>PFHpA</v>
          </cell>
          <cell r="H83" t="str">
            <v>PFHxS</v>
          </cell>
          <cell r="I83" t="str">
            <v>6.2 FTS</v>
          </cell>
          <cell r="J83" t="str">
            <v>PFOA</v>
          </cell>
          <cell r="K83" t="str">
            <v>PFOS</v>
          </cell>
          <cell r="L83" t="str">
            <v>PFOSA</v>
          </cell>
          <cell r="M83" t="str">
            <v>6:2 FTAB</v>
          </cell>
        </row>
        <row r="84">
          <cell r="D84">
            <v>0.32212728590260176</v>
          </cell>
          <cell r="E84">
            <v>0.36729878168160224</v>
          </cell>
          <cell r="F84">
            <v>0.34617474961450784</v>
          </cell>
          <cell r="G84">
            <v>0.30828871966068105</v>
          </cell>
          <cell r="H84">
            <v>0.20497496164696721</v>
          </cell>
          <cell r="I84">
            <v>0.1349923751341838</v>
          </cell>
          <cell r="J84">
            <v>0.1512557984036107</v>
          </cell>
          <cell r="K84">
            <v>8.051874258401992E-2</v>
          </cell>
          <cell r="L84">
            <v>0.14415820973198021</v>
          </cell>
          <cell r="M84">
            <v>0.12562257885998895</v>
          </cell>
        </row>
        <row r="85">
          <cell r="D85">
            <v>3.2456132606290607E-2</v>
          </cell>
          <cell r="E85">
            <v>6.3931661508763851E-2</v>
          </cell>
          <cell r="F85">
            <v>0.11286777762523245</v>
          </cell>
          <cell r="G85">
            <v>0.177185168045352</v>
          </cell>
          <cell r="H85">
            <v>6.4639303725799374E-2</v>
          </cell>
          <cell r="I85">
            <v>2.0854353544986708E-2</v>
          </cell>
          <cell r="J85">
            <v>2.9442099544485772E-2</v>
          </cell>
          <cell r="K85">
            <v>5.4815582332001945E-3</v>
          </cell>
          <cell r="L85">
            <v>9.454419290484864E-3</v>
          </cell>
          <cell r="M85">
            <v>1.8649695628112896E-2</v>
          </cell>
        </row>
        <row r="86">
          <cell r="D86">
            <v>1.36439360548311E-3</v>
          </cell>
          <cell r="E86">
            <v>5.3943305431426222E-3</v>
          </cell>
          <cell r="F86">
            <v>1.6858401004832407E-2</v>
          </cell>
          <cell r="G86">
            <v>0.15887381343803006</v>
          </cell>
          <cell r="H86">
            <v>8.1228434751847434E-2</v>
          </cell>
          <cell r="I86">
            <v>3.2215633969583463E-2</v>
          </cell>
          <cell r="J86">
            <v>4.2905261398303314E-2</v>
          </cell>
          <cell r="K86">
            <v>3.3424135568293867E-3</v>
          </cell>
          <cell r="L86">
            <v>1.0061583832075635E-2</v>
          </cell>
          <cell r="M86">
            <v>1.7100166021029331E-2</v>
          </cell>
        </row>
        <row r="89">
          <cell r="D89" t="str">
            <v>PFPeA</v>
          </cell>
          <cell r="E89" t="str">
            <v>PFBS</v>
          </cell>
          <cell r="F89" t="str">
            <v>PFHxA</v>
          </cell>
          <cell r="G89" t="str">
            <v>PFHpA</v>
          </cell>
          <cell r="H89" t="str">
            <v>PFHxS</v>
          </cell>
          <cell r="I89" t="str">
            <v>6.2 FTS</v>
          </cell>
          <cell r="J89" t="str">
            <v>PFOA</v>
          </cell>
          <cell r="K89" t="str">
            <v>PFOS</v>
          </cell>
          <cell r="L89" t="str">
            <v>PFOSA</v>
          </cell>
          <cell r="M89" t="str">
            <v>6:2 FTAB</v>
          </cell>
        </row>
        <row r="90">
          <cell r="C90">
            <v>1</v>
          </cell>
          <cell r="D90">
            <v>147.2449</v>
          </cell>
          <cell r="E90">
            <v>58.227800000000002</v>
          </cell>
          <cell r="F90">
            <v>88.134100000000004</v>
          </cell>
          <cell r="G90">
            <v>53.589700000000001</v>
          </cell>
          <cell r="H90">
            <v>56.253700000000002</v>
          </cell>
          <cell r="I90">
            <v>43.410600000000002</v>
          </cell>
          <cell r="J90">
            <v>59.822499999999998</v>
          </cell>
          <cell r="K90">
            <v>5.9836999999999998</v>
          </cell>
          <cell r="L90">
            <v>2.3058000000000001</v>
          </cell>
          <cell r="M90">
            <v>1.8069999999999999</v>
          </cell>
        </row>
        <row r="91">
          <cell r="C91">
            <v>2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</row>
        <row r="92">
          <cell r="C92">
            <v>3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C93">
            <v>4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mples"/>
      <sheetName val="Sheet1"/>
    </sheetNames>
    <sheetDataSet>
      <sheetData sheetId="0">
        <row r="19">
          <cell r="B19" t="str">
            <v>PFPeA</v>
          </cell>
          <cell r="C19" t="str">
            <v>PFBS</v>
          </cell>
          <cell r="D19" t="str">
            <v>PFHxA</v>
          </cell>
          <cell r="E19" t="str">
            <v>PFHpA</v>
          </cell>
          <cell r="F19" t="str">
            <v>PFHxS</v>
          </cell>
          <cell r="G19" t="str">
            <v>6.2 FTS</v>
          </cell>
          <cell r="H19" t="str">
            <v>PFOA</v>
          </cell>
          <cell r="I19" t="str">
            <v>PFOS</v>
          </cell>
          <cell r="J19" t="str">
            <v>PFOSA</v>
          </cell>
          <cell r="K19" t="str">
            <v>6:2 FTAB</v>
          </cell>
        </row>
        <row r="23">
          <cell r="A23">
            <v>4.5</v>
          </cell>
          <cell r="B23">
            <v>0.05</v>
          </cell>
          <cell r="C23">
            <v>0.23712930128387735</v>
          </cell>
          <cell r="D23">
            <v>0.05</v>
          </cell>
          <cell r="E23">
            <v>0.2</v>
          </cell>
          <cell r="F23">
            <v>0.02</v>
          </cell>
          <cell r="G23">
            <v>5.8840286441194094E-2</v>
          </cell>
          <cell r="H23">
            <v>8.6737851298120838E-2</v>
          </cell>
          <cell r="I23">
            <v>0.18329878881346939</v>
          </cell>
          <cell r="J23">
            <v>0.34655848174379422</v>
          </cell>
          <cell r="K23">
            <v>0.05</v>
          </cell>
        </row>
        <row r="24">
          <cell r="A24">
            <v>4</v>
          </cell>
          <cell r="B24">
            <v>7.8143040558639604E-2</v>
          </cell>
          <cell r="C24">
            <v>0.32125472229662949</v>
          </cell>
          <cell r="D24">
            <v>7.8604878859813598E-2</v>
          </cell>
          <cell r="E24">
            <v>0.2</v>
          </cell>
          <cell r="F24">
            <v>0.61978700017549859</v>
          </cell>
          <cell r="G24">
            <v>0.92247582276493356</v>
          </cell>
          <cell r="H24">
            <v>1.0706335497815505</v>
          </cell>
          <cell r="I24">
            <v>1.2480718250925986</v>
          </cell>
          <cell r="J24">
            <v>1.2592483119810092</v>
          </cell>
          <cell r="K24">
            <v>0.58247046544063996</v>
          </cell>
        </row>
        <row r="25">
          <cell r="A25">
            <v>3</v>
          </cell>
          <cell r="B25">
            <v>0.30432764712011134</v>
          </cell>
          <cell r="C25">
            <v>0.1</v>
          </cell>
          <cell r="D25">
            <v>0.32857535258626402</v>
          </cell>
          <cell r="E25">
            <v>1.3197950311147313</v>
          </cell>
          <cell r="F25">
            <v>4.2448639381683506</v>
          </cell>
          <cell r="G25">
            <v>2.8786572833098116</v>
          </cell>
          <cell r="H25">
            <v>4.6261969936633918</v>
          </cell>
          <cell r="I25">
            <v>0.62627276774297425</v>
          </cell>
          <cell r="J25">
            <v>0.84459683453782541</v>
          </cell>
          <cell r="K25">
            <v>0.10456822982278335</v>
          </cell>
        </row>
        <row r="26">
          <cell r="A26">
            <v>2</v>
          </cell>
          <cell r="B26">
            <v>0.93715059141999657</v>
          </cell>
          <cell r="C26">
            <v>0.91400380548853455</v>
          </cell>
          <cell r="D26">
            <v>0.98050177524078552</v>
          </cell>
          <cell r="E26">
            <v>1.8841091429804431</v>
          </cell>
          <cell r="F26">
            <v>2.0698719080405659</v>
          </cell>
          <cell r="G26">
            <v>1.0163008297534279</v>
          </cell>
          <cell r="H26">
            <v>1.360854469487436</v>
          </cell>
          <cell r="I26">
            <v>0.25618391886855374</v>
          </cell>
          <cell r="J26">
            <v>0.20998842660703429</v>
          </cell>
          <cell r="K26">
            <v>6.6203730948037443E-2</v>
          </cell>
        </row>
        <row r="27">
          <cell r="A27">
            <v>4.5</v>
          </cell>
          <cell r="B27">
            <v>0.05</v>
          </cell>
          <cell r="C27">
            <v>0.1</v>
          </cell>
          <cell r="D27">
            <v>0.12067260138476756</v>
          </cell>
          <cell r="E27">
            <v>0.83020112100230792</v>
          </cell>
          <cell r="F27">
            <v>2.4262634826433049</v>
          </cell>
          <cell r="G27">
            <v>2.8333097828646787</v>
          </cell>
          <cell r="H27">
            <v>2.5920587819697611</v>
          </cell>
          <cell r="I27">
            <v>0.71923131270312279</v>
          </cell>
          <cell r="J27">
            <v>0.23183081343318734</v>
          </cell>
          <cell r="K27">
            <v>0.11096980829918515</v>
          </cell>
        </row>
        <row r="28">
          <cell r="A28">
            <v>4</v>
          </cell>
          <cell r="B28">
            <v>0.22561547902678508</v>
          </cell>
          <cell r="C28">
            <v>0.24971121218684572</v>
          </cell>
          <cell r="D28">
            <v>0.3576456573532597</v>
          </cell>
          <cell r="E28">
            <v>0.61475705725218399</v>
          </cell>
          <cell r="F28">
            <v>0.87168796476788679</v>
          </cell>
          <cell r="G28">
            <v>0.90814742617861532</v>
          </cell>
          <cell r="H28">
            <v>1.0608439823839435</v>
          </cell>
          <cell r="I28">
            <v>0.30773951339253486</v>
          </cell>
          <cell r="J28">
            <v>0.12174211248285322</v>
          </cell>
          <cell r="K28">
            <v>0.10152696556205329</v>
          </cell>
        </row>
        <row r="29">
          <cell r="A29">
            <v>3</v>
          </cell>
          <cell r="B29">
            <v>0.16456749049429659</v>
          </cell>
          <cell r="C29">
            <v>0.20833333333333334</v>
          </cell>
          <cell r="D29">
            <v>0.19219344106463879</v>
          </cell>
          <cell r="E29">
            <v>0.28447797845373896</v>
          </cell>
          <cell r="F29">
            <v>0.24051410012674274</v>
          </cell>
          <cell r="G29">
            <v>0.13525823827629913</v>
          </cell>
          <cell r="H29">
            <v>0.18912389100126745</v>
          </cell>
          <cell r="I29">
            <v>1.8417300380228138E-2</v>
          </cell>
          <cell r="J29">
            <v>0.02</v>
          </cell>
          <cell r="K29">
            <v>0.05</v>
          </cell>
        </row>
        <row r="30">
          <cell r="A30">
            <v>2</v>
          </cell>
          <cell r="B30">
            <v>5.2026374327569851</v>
          </cell>
          <cell r="C30">
            <v>2.1138456357400499</v>
          </cell>
          <cell r="D30">
            <v>1.628455205296135</v>
          </cell>
          <cell r="E30">
            <v>0.5515921196061575</v>
          </cell>
          <cell r="F30">
            <v>0.3450109449914478</v>
          </cell>
          <cell r="G30">
            <v>0.28031585384226804</v>
          </cell>
          <cell r="H30">
            <v>0.28944406533317968</v>
          </cell>
          <cell r="I30">
            <v>9.8992351799498376E-2</v>
          </cell>
          <cell r="J30">
            <v>2.2067229720747625E-2</v>
          </cell>
          <cell r="K30">
            <v>0.05</v>
          </cell>
        </row>
        <row r="37">
          <cell r="A37">
            <v>4.5</v>
          </cell>
          <cell r="L37">
            <v>5.9999999999999995E-4</v>
          </cell>
        </row>
        <row r="38">
          <cell r="A38">
            <v>4</v>
          </cell>
          <cell r="L38">
            <v>1.5900000000000001E-2</v>
          </cell>
        </row>
        <row r="39">
          <cell r="A39">
            <v>3</v>
          </cell>
          <cell r="L39">
            <v>3.1899999999999998E-2</v>
          </cell>
        </row>
        <row r="40">
          <cell r="A40">
            <v>2</v>
          </cell>
          <cell r="L40">
            <v>1.5700000000000002E-2</v>
          </cell>
        </row>
        <row r="41">
          <cell r="A41">
            <v>4.5</v>
          </cell>
          <cell r="L41">
            <v>3.7499999999999999E-2</v>
          </cell>
        </row>
        <row r="42">
          <cell r="A42">
            <v>4</v>
          </cell>
          <cell r="L42">
            <v>8.5900000000000004E-2</v>
          </cell>
        </row>
        <row r="43">
          <cell r="A43">
            <v>3</v>
          </cell>
          <cell r="L43">
            <v>6.2199999999999998E-2</v>
          </cell>
        </row>
        <row r="44">
          <cell r="A44">
            <v>2</v>
          </cell>
          <cell r="L44">
            <v>7.4099999999999999E-2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I2">
            <v>1</v>
          </cell>
          <cell r="K2">
            <v>1208</v>
          </cell>
        </row>
        <row r="3">
          <cell r="I3">
            <v>2</v>
          </cell>
          <cell r="K3">
            <v>1055</v>
          </cell>
        </row>
        <row r="4">
          <cell r="I4">
            <v>3</v>
          </cell>
          <cell r="K4">
            <v>960</v>
          </cell>
        </row>
        <row r="9">
          <cell r="I9">
            <v>1</v>
          </cell>
          <cell r="K9">
            <v>14.9232</v>
          </cell>
        </row>
        <row r="10">
          <cell r="I10">
            <v>2</v>
          </cell>
          <cell r="K10">
            <v>0.55979999999999996</v>
          </cell>
        </row>
        <row r="11">
          <cell r="I11">
            <v>3</v>
          </cell>
          <cell r="K11">
            <v>0.14610000000000001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comptox.epa.gov/dashboard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zoomScale="80" zoomScaleNormal="80" workbookViewId="0">
      <selection activeCell="B1" sqref="B1"/>
    </sheetView>
  </sheetViews>
  <sheetFormatPr defaultRowHeight="14.4" x14ac:dyDescent="0.3"/>
  <cols>
    <col min="1" max="1" width="39.33203125" customWidth="1"/>
    <col min="2" max="2" width="48.5546875" customWidth="1"/>
    <col min="3" max="3" width="8.88671875" customWidth="1"/>
    <col min="4" max="4" width="15.77734375" customWidth="1"/>
    <col min="6" max="6" width="28.21875" customWidth="1"/>
    <col min="7" max="7" width="40.6640625" customWidth="1"/>
  </cols>
  <sheetData>
    <row r="1" spans="1:9" ht="54.6" thickBot="1" x14ac:dyDescent="0.35">
      <c r="A1" s="18" t="s">
        <v>47</v>
      </c>
    </row>
    <row r="2" spans="1:9" ht="16.8" customHeight="1" x14ac:dyDescent="0.3">
      <c r="A2" s="183" t="s">
        <v>0</v>
      </c>
      <c r="B2" s="2" t="s">
        <v>1</v>
      </c>
      <c r="C2" s="2">
        <v>1784.68</v>
      </c>
      <c r="D2" s="3" t="s">
        <v>2</v>
      </c>
      <c r="F2" s="186" t="s">
        <v>26</v>
      </c>
      <c r="G2" s="4" t="s">
        <v>3</v>
      </c>
      <c r="H2" s="2">
        <v>319.67</v>
      </c>
      <c r="I2" s="3" t="s">
        <v>2</v>
      </c>
    </row>
    <row r="3" spans="1:9" x14ac:dyDescent="0.3">
      <c r="A3" s="184"/>
      <c r="B3" s="16" t="s">
        <v>5</v>
      </c>
      <c r="C3">
        <f>1899.66-C2</f>
        <v>114.98000000000002</v>
      </c>
      <c r="D3" s="5" t="s">
        <v>2</v>
      </c>
      <c r="F3" s="187"/>
      <c r="G3" s="6" t="s">
        <v>22</v>
      </c>
      <c r="H3">
        <f>(1152.18-H2)-(340.32-H2)</f>
        <v>811.86</v>
      </c>
      <c r="I3" s="5" t="s">
        <v>2</v>
      </c>
    </row>
    <row r="4" spans="1:9" x14ac:dyDescent="0.3">
      <c r="A4" s="184"/>
      <c r="B4" t="s">
        <v>8</v>
      </c>
      <c r="C4">
        <f>2931.74-(C3+C2)</f>
        <v>1032.0799999999997</v>
      </c>
      <c r="D4" s="5" t="s">
        <v>2</v>
      </c>
      <c r="F4" s="187"/>
      <c r="G4" s="6" t="s">
        <v>7</v>
      </c>
      <c r="H4">
        <v>295.55</v>
      </c>
      <c r="I4" s="5" t="s">
        <v>2</v>
      </c>
    </row>
    <row r="5" spans="1:9" x14ac:dyDescent="0.3">
      <c r="A5" s="184"/>
      <c r="B5" s="16" t="s">
        <v>29</v>
      </c>
      <c r="C5">
        <f>6200-(C2+C3+C4)</f>
        <v>3268.26</v>
      </c>
      <c r="D5" s="5" t="s">
        <v>2</v>
      </c>
      <c r="F5" s="187"/>
      <c r="G5" s="6" t="s">
        <v>9</v>
      </c>
      <c r="H5">
        <f>(457.09-H4)+(326.63-H4)-(301.83-H4)</f>
        <v>186.33999999999997</v>
      </c>
      <c r="I5" s="5" t="s">
        <v>2</v>
      </c>
    </row>
    <row r="6" spans="1:9" ht="15" thickBot="1" x14ac:dyDescent="0.35">
      <c r="A6" s="184"/>
      <c r="B6" s="12" t="s">
        <v>32</v>
      </c>
      <c r="C6">
        <f>6900-(C4+C3+C2)</f>
        <v>3968.26</v>
      </c>
      <c r="D6" s="5" t="s">
        <v>2</v>
      </c>
      <c r="F6" s="188"/>
      <c r="G6" s="11" t="s">
        <v>10</v>
      </c>
      <c r="H6" s="9">
        <f>1374.65-H2</f>
        <v>1054.98</v>
      </c>
      <c r="I6" s="10" t="s">
        <v>2</v>
      </c>
    </row>
    <row r="7" spans="1:9" ht="15" thickBot="1" x14ac:dyDescent="0.35">
      <c r="A7" s="185"/>
      <c r="B7" s="17" t="s">
        <v>28</v>
      </c>
      <c r="C7" s="9">
        <f>10000-(C6+C4+C3+C2)</f>
        <v>3100</v>
      </c>
      <c r="D7" s="10" t="s">
        <v>2</v>
      </c>
      <c r="G7" s="12"/>
    </row>
    <row r="8" spans="1:9" x14ac:dyDescent="0.3">
      <c r="A8" s="19"/>
      <c r="F8" s="186" t="s">
        <v>45</v>
      </c>
      <c r="G8" s="1" t="s">
        <v>25</v>
      </c>
      <c r="H8" s="2">
        <f>PI()*(0.5*9)^2*8</f>
        <v>508.93800988154646</v>
      </c>
      <c r="I8" s="3" t="s">
        <v>4</v>
      </c>
    </row>
    <row r="9" spans="1:9" x14ac:dyDescent="0.3">
      <c r="A9" s="19"/>
      <c r="F9" s="187"/>
      <c r="G9" s="7" t="s">
        <v>23</v>
      </c>
      <c r="H9">
        <v>0.37</v>
      </c>
      <c r="I9" s="5"/>
    </row>
    <row r="10" spans="1:9" ht="15" thickBot="1" x14ac:dyDescent="0.35">
      <c r="A10" s="13"/>
      <c r="F10" s="187"/>
      <c r="G10" s="7" t="s">
        <v>24</v>
      </c>
      <c r="H10">
        <f>H9*H8</f>
        <v>188.30706365617218</v>
      </c>
      <c r="I10" s="5" t="s">
        <v>4</v>
      </c>
    </row>
    <row r="11" spans="1:9" ht="15" thickBot="1" x14ac:dyDescent="0.35">
      <c r="A11" s="183" t="s">
        <v>11</v>
      </c>
      <c r="B11" s="1" t="s">
        <v>21</v>
      </c>
      <c r="C11" s="2">
        <v>2</v>
      </c>
      <c r="D11" s="3" t="s">
        <v>12</v>
      </c>
      <c r="F11" s="188"/>
      <c r="G11" s="8" t="s">
        <v>27</v>
      </c>
      <c r="H11" s="9">
        <f>H10</f>
        <v>188.30706365617218</v>
      </c>
      <c r="I11" s="10" t="s">
        <v>4</v>
      </c>
    </row>
    <row r="12" spans="1:9" ht="14.4" customHeight="1" thickBot="1" x14ac:dyDescent="0.35">
      <c r="A12" s="184"/>
      <c r="B12" s="7" t="s">
        <v>13</v>
      </c>
      <c r="C12">
        <v>8</v>
      </c>
      <c r="D12" s="5" t="s">
        <v>12</v>
      </c>
    </row>
    <row r="13" spans="1:9" x14ac:dyDescent="0.3">
      <c r="A13" s="184"/>
      <c r="B13" s="7" t="s">
        <v>14</v>
      </c>
      <c r="C13">
        <v>30</v>
      </c>
      <c r="D13" s="5" t="s">
        <v>12</v>
      </c>
      <c r="F13" s="186" t="s">
        <v>31</v>
      </c>
      <c r="G13" s="2" t="s">
        <v>30</v>
      </c>
      <c r="H13" s="2">
        <f>C6-C5</f>
        <v>700</v>
      </c>
      <c r="I13" s="3" t="s">
        <v>2</v>
      </c>
    </row>
    <row r="14" spans="1:9" x14ac:dyDescent="0.3">
      <c r="A14" s="184"/>
      <c r="B14" s="7" t="s">
        <v>15</v>
      </c>
      <c r="C14">
        <v>9</v>
      </c>
      <c r="D14" s="5" t="s">
        <v>12</v>
      </c>
      <c r="F14" s="187"/>
      <c r="G14" t="s">
        <v>34</v>
      </c>
      <c r="H14">
        <f>H13/1</f>
        <v>700</v>
      </c>
      <c r="I14" s="5" t="s">
        <v>4</v>
      </c>
    </row>
    <row r="15" spans="1:9" x14ac:dyDescent="0.3">
      <c r="A15" s="184"/>
      <c r="B15" s="7" t="s">
        <v>16</v>
      </c>
      <c r="C15">
        <v>80</v>
      </c>
      <c r="D15" s="5" t="s">
        <v>12</v>
      </c>
      <c r="F15" s="187"/>
      <c r="G15" t="s">
        <v>33</v>
      </c>
      <c r="H15">
        <f>PI()*((0.5*C14)^2)*C13</f>
        <v>1908.5175370557993</v>
      </c>
      <c r="I15" s="5" t="s">
        <v>4</v>
      </c>
    </row>
    <row r="16" spans="1:9" ht="15" thickBot="1" x14ac:dyDescent="0.35">
      <c r="A16" s="185"/>
      <c r="B16" s="8" t="s">
        <v>17</v>
      </c>
      <c r="C16" s="9">
        <v>30</v>
      </c>
      <c r="D16" s="10" t="s">
        <v>12</v>
      </c>
      <c r="F16" s="188"/>
      <c r="G16" s="9" t="s">
        <v>6</v>
      </c>
      <c r="H16" s="14">
        <f>H14/H15</f>
        <v>0.3667768235862609</v>
      </c>
      <c r="I16" s="10"/>
    </row>
    <row r="17" spans="1:6" ht="15" thickBot="1" x14ac:dyDescent="0.35">
      <c r="A17" s="19"/>
    </row>
    <row r="18" spans="1:6" ht="15" thickBot="1" x14ac:dyDescent="0.35">
      <c r="A18" s="20" t="s">
        <v>36</v>
      </c>
      <c r="B18" s="4" t="s">
        <v>35</v>
      </c>
      <c r="C18" s="2">
        <f>(C12+C13)*PI()*(0.5*C14)^2</f>
        <v>2417.4555469373458</v>
      </c>
      <c r="D18" s="3" t="s">
        <v>18</v>
      </c>
      <c r="E18" t="s">
        <v>42</v>
      </c>
    </row>
    <row r="19" spans="1:6" ht="15" thickBot="1" x14ac:dyDescent="0.35">
      <c r="A19" s="20" t="s">
        <v>37</v>
      </c>
      <c r="B19" s="11" t="s">
        <v>35</v>
      </c>
      <c r="C19" s="9">
        <f>(C12+35)*PI()*(0.5*C14)^2</f>
        <v>2735.5418031133122</v>
      </c>
      <c r="D19" s="10" t="s">
        <v>18</v>
      </c>
      <c r="E19" t="s">
        <v>41</v>
      </c>
    </row>
    <row r="20" spans="1:6" ht="15" thickBot="1" x14ac:dyDescent="0.35"/>
    <row r="21" spans="1:6" ht="15" thickBot="1" x14ac:dyDescent="0.35">
      <c r="A21" s="20" t="s">
        <v>36</v>
      </c>
      <c r="B21" s="21" t="s">
        <v>40</v>
      </c>
      <c r="C21" s="22">
        <f>C18*H16</f>
        <v>886.66666666666674</v>
      </c>
      <c r="D21" s="23" t="s">
        <v>18</v>
      </c>
    </row>
    <row r="22" spans="1:6" ht="15" thickBot="1" x14ac:dyDescent="0.35">
      <c r="A22" s="20" t="s">
        <v>37</v>
      </c>
      <c r="B22" s="24" t="s">
        <v>39</v>
      </c>
      <c r="C22" s="22">
        <f>C19*H16</f>
        <v>1003.3333333333334</v>
      </c>
      <c r="D22" s="23" t="s">
        <v>18</v>
      </c>
    </row>
    <row r="23" spans="1:6" ht="15" thickBot="1" x14ac:dyDescent="0.35">
      <c r="B23" s="21" t="s">
        <v>38</v>
      </c>
      <c r="C23" s="22">
        <f>C22-C21</f>
        <v>116.66666666666663</v>
      </c>
      <c r="D23" s="23" t="s">
        <v>18</v>
      </c>
    </row>
    <row r="24" spans="1:6" ht="15" thickBot="1" x14ac:dyDescent="0.35"/>
    <row r="25" spans="1:6" ht="28.8" x14ac:dyDescent="0.3">
      <c r="A25" s="181" t="s">
        <v>37</v>
      </c>
      <c r="B25" s="4" t="s">
        <v>43</v>
      </c>
      <c r="C25" s="25">
        <f>C21/C19</f>
        <v>0.32412835572739335</v>
      </c>
      <c r="D25" s="4" t="s">
        <v>19</v>
      </c>
      <c r="E25" s="27">
        <f>C25/H16</f>
        <v>0.88372093023255816</v>
      </c>
      <c r="F25" s="15"/>
    </row>
    <row r="26" spans="1:6" ht="15" thickBot="1" x14ac:dyDescent="0.35">
      <c r="A26" s="182"/>
      <c r="B26" s="11" t="s">
        <v>44</v>
      </c>
      <c r="C26" s="26">
        <f>C23/C19</f>
        <v>4.2648467858867535E-2</v>
      </c>
      <c r="D26" s="11" t="s">
        <v>20</v>
      </c>
      <c r="E26" s="28">
        <f>C26/H16</f>
        <v>0.11627906976744183</v>
      </c>
      <c r="F26" s="15"/>
    </row>
  </sheetData>
  <mergeCells count="6">
    <mergeCell ref="A25:A26"/>
    <mergeCell ref="A2:A7"/>
    <mergeCell ref="A11:A16"/>
    <mergeCell ref="F2:F6"/>
    <mergeCell ref="F8:F11"/>
    <mergeCell ref="F13:F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AAB1B-9316-4C73-A783-810C9A7006AB}">
  <dimension ref="A1:I25"/>
  <sheetViews>
    <sheetView workbookViewId="0"/>
  </sheetViews>
  <sheetFormatPr defaultRowHeight="14.4" x14ac:dyDescent="0.3"/>
  <cols>
    <col min="1" max="1" width="39.33203125" customWidth="1"/>
    <col min="2" max="2" width="48.5546875" customWidth="1"/>
    <col min="3" max="3" width="8.88671875" customWidth="1"/>
    <col min="4" max="4" width="15.77734375" customWidth="1"/>
    <col min="6" max="6" width="28.21875" customWidth="1"/>
    <col min="7" max="7" width="40.6640625" customWidth="1"/>
  </cols>
  <sheetData>
    <row r="1" spans="1:9" ht="54.6" thickBot="1" x14ac:dyDescent="0.35">
      <c r="A1" s="18" t="s">
        <v>46</v>
      </c>
    </row>
    <row r="2" spans="1:9" ht="16.8" customHeight="1" x14ac:dyDescent="0.3">
      <c r="A2" s="183" t="s">
        <v>0</v>
      </c>
      <c r="B2" s="2" t="s">
        <v>1</v>
      </c>
      <c r="C2" s="2">
        <v>1790.06</v>
      </c>
      <c r="D2" s="3" t="s">
        <v>2</v>
      </c>
      <c r="F2" s="186" t="s">
        <v>26</v>
      </c>
      <c r="G2" s="4" t="s">
        <v>3</v>
      </c>
      <c r="H2" s="2">
        <v>401.89</v>
      </c>
      <c r="I2" s="3" t="s">
        <v>2</v>
      </c>
    </row>
    <row r="3" spans="1:9" x14ac:dyDescent="0.3">
      <c r="A3" s="184"/>
      <c r="B3" s="16" t="s">
        <v>5</v>
      </c>
      <c r="C3">
        <f>1984.81-C2</f>
        <v>194.75</v>
      </c>
      <c r="D3" s="5" t="s">
        <v>2</v>
      </c>
      <c r="F3" s="187"/>
      <c r="G3" s="6" t="s">
        <v>22</v>
      </c>
      <c r="H3">
        <f>1173.92-H2</f>
        <v>772.03000000000009</v>
      </c>
      <c r="I3" s="5" t="s">
        <v>2</v>
      </c>
    </row>
    <row r="4" spans="1:9" x14ac:dyDescent="0.3">
      <c r="A4" s="184"/>
      <c r="B4" t="s">
        <v>8</v>
      </c>
      <c r="C4">
        <f>2949.45-(C3+C2)</f>
        <v>964.63999999999987</v>
      </c>
      <c r="D4" s="5" t="s">
        <v>2</v>
      </c>
      <c r="F4" s="187"/>
      <c r="G4" s="6" t="s">
        <v>7</v>
      </c>
      <c r="H4">
        <v>269.24</v>
      </c>
      <c r="I4" s="5" t="s">
        <v>2</v>
      </c>
    </row>
    <row r="5" spans="1:9" ht="15" thickBot="1" x14ac:dyDescent="0.35">
      <c r="A5" s="184"/>
      <c r="B5" s="16" t="s">
        <v>29</v>
      </c>
      <c r="C5">
        <f>6150-(C4+C3+C2)</f>
        <v>3200.55</v>
      </c>
      <c r="D5" s="5" t="s">
        <v>2</v>
      </c>
      <c r="F5" s="188"/>
      <c r="G5" s="11" t="s">
        <v>9</v>
      </c>
      <c r="H5" s="9">
        <f>478.13-H4</f>
        <v>208.89</v>
      </c>
      <c r="I5" s="10" t="s">
        <v>2</v>
      </c>
    </row>
    <row r="6" spans="1:9" ht="15" thickBot="1" x14ac:dyDescent="0.35">
      <c r="A6" s="184"/>
      <c r="B6" s="12" t="s">
        <v>32</v>
      </c>
      <c r="C6">
        <f>6850-(C4+C3+C2)</f>
        <v>3900.55</v>
      </c>
      <c r="D6" s="5" t="s">
        <v>2</v>
      </c>
      <c r="G6" s="12"/>
    </row>
    <row r="7" spans="1:9" ht="15" thickBot="1" x14ac:dyDescent="0.35">
      <c r="A7" s="185"/>
      <c r="B7" s="17" t="s">
        <v>28</v>
      </c>
      <c r="C7" s="9">
        <f>10000-(C6+C4+C3+C2)</f>
        <v>3150</v>
      </c>
      <c r="D7" s="10" t="s">
        <v>2</v>
      </c>
      <c r="F7" s="186" t="s">
        <v>45</v>
      </c>
      <c r="G7" s="1" t="s">
        <v>25</v>
      </c>
      <c r="H7" s="2">
        <f>PI()*(0.5*9)^2*8</f>
        <v>508.93800988154646</v>
      </c>
      <c r="I7" s="3" t="s">
        <v>4</v>
      </c>
    </row>
    <row r="8" spans="1:9" x14ac:dyDescent="0.3">
      <c r="A8" s="19"/>
      <c r="F8" s="187"/>
      <c r="G8" s="7" t="s">
        <v>23</v>
      </c>
      <c r="H8">
        <v>0.37</v>
      </c>
      <c r="I8" s="5"/>
    </row>
    <row r="9" spans="1:9" ht="15" thickBot="1" x14ac:dyDescent="0.35">
      <c r="A9" s="13"/>
      <c r="F9" s="187"/>
      <c r="G9" s="7" t="s">
        <v>24</v>
      </c>
      <c r="H9">
        <f>H8*H7</f>
        <v>188.30706365617218</v>
      </c>
      <c r="I9" s="5" t="s">
        <v>4</v>
      </c>
    </row>
    <row r="10" spans="1:9" ht="15" thickBot="1" x14ac:dyDescent="0.35">
      <c r="A10" s="183" t="s">
        <v>11</v>
      </c>
      <c r="B10" s="1" t="s">
        <v>21</v>
      </c>
      <c r="C10" s="2">
        <v>2</v>
      </c>
      <c r="D10" s="3" t="s">
        <v>12</v>
      </c>
      <c r="F10" s="188"/>
      <c r="G10" s="8" t="s">
        <v>27</v>
      </c>
      <c r="H10" s="9">
        <f>H9</f>
        <v>188.30706365617218</v>
      </c>
      <c r="I10" s="10" t="s">
        <v>4</v>
      </c>
    </row>
    <row r="11" spans="1:9" ht="15" thickBot="1" x14ac:dyDescent="0.35">
      <c r="A11" s="184"/>
      <c r="B11" s="7" t="s">
        <v>13</v>
      </c>
      <c r="C11">
        <v>8</v>
      </c>
      <c r="D11" s="5" t="s">
        <v>12</v>
      </c>
    </row>
    <row r="12" spans="1:9" ht="14.4" customHeight="1" x14ac:dyDescent="0.3">
      <c r="A12" s="184"/>
      <c r="B12" s="7" t="s">
        <v>14</v>
      </c>
      <c r="C12">
        <v>30</v>
      </c>
      <c r="D12" s="5" t="s">
        <v>12</v>
      </c>
      <c r="F12" s="186" t="s">
        <v>31</v>
      </c>
      <c r="G12" s="2" t="s">
        <v>30</v>
      </c>
      <c r="H12" s="2">
        <f>C6-C5</f>
        <v>700</v>
      </c>
      <c r="I12" s="3" t="s">
        <v>2</v>
      </c>
    </row>
    <row r="13" spans="1:9" x14ac:dyDescent="0.3">
      <c r="A13" s="184"/>
      <c r="B13" s="7" t="s">
        <v>15</v>
      </c>
      <c r="C13">
        <v>9</v>
      </c>
      <c r="D13" s="5" t="s">
        <v>12</v>
      </c>
      <c r="F13" s="187"/>
      <c r="G13" t="s">
        <v>34</v>
      </c>
      <c r="H13">
        <f>H12/1</f>
        <v>700</v>
      </c>
      <c r="I13" s="5" t="s">
        <v>4</v>
      </c>
    </row>
    <row r="14" spans="1:9" x14ac:dyDescent="0.3">
      <c r="A14" s="184"/>
      <c r="B14" s="7" t="s">
        <v>16</v>
      </c>
      <c r="C14">
        <v>80</v>
      </c>
      <c r="D14" s="5" t="s">
        <v>12</v>
      </c>
      <c r="F14" s="187"/>
      <c r="G14" t="s">
        <v>33</v>
      </c>
      <c r="H14">
        <f>PI()*((0.5*C13)^2)*C12</f>
        <v>1908.5175370557993</v>
      </c>
      <c r="I14" s="5" t="s">
        <v>4</v>
      </c>
    </row>
    <row r="15" spans="1:9" ht="15" thickBot="1" x14ac:dyDescent="0.35">
      <c r="A15" s="185"/>
      <c r="B15" s="8" t="s">
        <v>17</v>
      </c>
      <c r="C15" s="9">
        <v>30</v>
      </c>
      <c r="D15" s="10" t="s">
        <v>12</v>
      </c>
      <c r="F15" s="188"/>
      <c r="G15" s="9" t="s">
        <v>6</v>
      </c>
      <c r="H15" s="14">
        <f>H13/H14</f>
        <v>0.3667768235862609</v>
      </c>
      <c r="I15" s="10"/>
    </row>
    <row r="16" spans="1:9" ht="15" thickBot="1" x14ac:dyDescent="0.35">
      <c r="A16" s="19"/>
    </row>
    <row r="17" spans="1:6" ht="15" thickBot="1" x14ac:dyDescent="0.35">
      <c r="A17" s="20" t="s">
        <v>36</v>
      </c>
      <c r="B17" s="21" t="s">
        <v>35</v>
      </c>
      <c r="C17" s="22">
        <f>(C11+C12)*PI()*(0.5*C13)^2</f>
        <v>2417.4555469373458</v>
      </c>
      <c r="D17" s="23" t="s">
        <v>18</v>
      </c>
      <c r="E17" t="s">
        <v>42</v>
      </c>
    </row>
    <row r="18" spans="1:6" ht="15" thickBot="1" x14ac:dyDescent="0.35">
      <c r="A18" s="20" t="s">
        <v>37</v>
      </c>
      <c r="B18" s="11" t="s">
        <v>35</v>
      </c>
      <c r="C18" s="9">
        <f>(C11+35)*PI()*(0.5*C13)^2</f>
        <v>2735.5418031133122</v>
      </c>
      <c r="D18" s="10" t="s">
        <v>18</v>
      </c>
      <c r="E18" t="s">
        <v>41</v>
      </c>
    </row>
    <row r="19" spans="1:6" ht="15" thickBot="1" x14ac:dyDescent="0.35"/>
    <row r="20" spans="1:6" ht="15" thickBot="1" x14ac:dyDescent="0.35">
      <c r="A20" s="24" t="s">
        <v>36</v>
      </c>
      <c r="B20" s="21" t="s">
        <v>40</v>
      </c>
      <c r="C20" s="22">
        <f>C17*H15</f>
        <v>886.66666666666674</v>
      </c>
      <c r="D20" s="23" t="s">
        <v>18</v>
      </c>
    </row>
    <row r="21" spans="1:6" ht="15" thickBot="1" x14ac:dyDescent="0.35">
      <c r="A21" s="24" t="s">
        <v>37</v>
      </c>
      <c r="B21" s="8" t="s">
        <v>39</v>
      </c>
      <c r="C21" s="9">
        <f>C18*H15</f>
        <v>1003.3333333333334</v>
      </c>
      <c r="D21" s="10" t="s">
        <v>18</v>
      </c>
    </row>
    <row r="22" spans="1:6" ht="15" thickBot="1" x14ac:dyDescent="0.35">
      <c r="B22" s="11" t="s">
        <v>38</v>
      </c>
      <c r="C22" s="9">
        <f>C21-C20</f>
        <v>116.66666666666663</v>
      </c>
      <c r="D22" s="10" t="s">
        <v>18</v>
      </c>
    </row>
    <row r="23" spans="1:6" ht="15" thickBot="1" x14ac:dyDescent="0.35"/>
    <row r="24" spans="1:6" ht="28.8" x14ac:dyDescent="0.3">
      <c r="A24" s="181" t="s">
        <v>37</v>
      </c>
      <c r="B24" s="29" t="s">
        <v>43</v>
      </c>
      <c r="C24" s="25">
        <f>C20/C18</f>
        <v>0.32412835572739335</v>
      </c>
      <c r="D24" s="4" t="s">
        <v>19</v>
      </c>
      <c r="E24" s="27">
        <f>C24/H15</f>
        <v>0.88372093023255816</v>
      </c>
      <c r="F24" s="15"/>
    </row>
    <row r="25" spans="1:6" ht="15" thickBot="1" x14ac:dyDescent="0.35">
      <c r="A25" s="182"/>
      <c r="B25" s="11" t="s">
        <v>44</v>
      </c>
      <c r="C25" s="26">
        <f>C22/C18</f>
        <v>4.2648467858867535E-2</v>
      </c>
      <c r="D25" s="11" t="s">
        <v>20</v>
      </c>
      <c r="E25" s="28">
        <f>C25/H15</f>
        <v>0.11627906976744183</v>
      </c>
      <c r="F25" s="15"/>
    </row>
  </sheetData>
  <mergeCells count="6">
    <mergeCell ref="A2:A7"/>
    <mergeCell ref="F7:F10"/>
    <mergeCell ref="A10:A15"/>
    <mergeCell ref="F12:F15"/>
    <mergeCell ref="A24:A25"/>
    <mergeCell ref="F2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0E319-7CD4-48FF-93A7-2E248327AC2F}">
  <dimension ref="A1:M36"/>
  <sheetViews>
    <sheetView workbookViewId="0">
      <selection activeCell="N5" sqref="N5"/>
    </sheetView>
  </sheetViews>
  <sheetFormatPr defaultRowHeight="14.4" x14ac:dyDescent="0.3"/>
  <sheetData>
    <row r="1" spans="1:12" ht="15" thickBot="1" x14ac:dyDescent="0.35">
      <c r="A1" s="30" t="s">
        <v>48</v>
      </c>
    </row>
    <row r="2" spans="1:12" x14ac:dyDescent="0.3">
      <c r="A2" s="1"/>
      <c r="B2" s="31" t="s">
        <v>49</v>
      </c>
      <c r="C2" s="31" t="s">
        <v>50</v>
      </c>
      <c r="D2" s="31" t="s">
        <v>51</v>
      </c>
      <c r="E2" s="31" t="s">
        <v>52</v>
      </c>
      <c r="F2" s="31" t="s">
        <v>53</v>
      </c>
      <c r="G2" s="31" t="s">
        <v>54</v>
      </c>
      <c r="H2" s="31" t="s">
        <v>55</v>
      </c>
      <c r="I2" s="32" t="s">
        <v>56</v>
      </c>
      <c r="J2" s="32" t="s">
        <v>57</v>
      </c>
      <c r="K2" s="33" t="s">
        <v>58</v>
      </c>
    </row>
    <row r="3" spans="1:12" ht="72" x14ac:dyDescent="0.3">
      <c r="A3" s="7" t="s">
        <v>59</v>
      </c>
      <c r="B3">
        <v>162</v>
      </c>
      <c r="C3">
        <v>237</v>
      </c>
      <c r="D3">
        <v>272</v>
      </c>
      <c r="E3">
        <v>182</v>
      </c>
      <c r="F3">
        <v>210</v>
      </c>
      <c r="G3">
        <v>155</v>
      </c>
      <c r="H3">
        <v>217</v>
      </c>
      <c r="I3">
        <v>250</v>
      </c>
      <c r="J3">
        <v>250</v>
      </c>
      <c r="K3" s="5">
        <v>278</v>
      </c>
      <c r="L3" s="34" t="s">
        <v>60</v>
      </c>
    </row>
    <row r="4" spans="1:12" x14ac:dyDescent="0.3">
      <c r="A4" s="7"/>
      <c r="B4" t="s">
        <v>61</v>
      </c>
      <c r="C4" t="s">
        <v>61</v>
      </c>
      <c r="D4" t="s">
        <v>61</v>
      </c>
      <c r="E4" t="s">
        <v>61</v>
      </c>
      <c r="F4" t="s">
        <v>61</v>
      </c>
      <c r="G4" t="s">
        <v>61</v>
      </c>
      <c r="H4" t="s">
        <v>61</v>
      </c>
      <c r="I4" t="s">
        <v>61</v>
      </c>
      <c r="J4" t="s">
        <v>61</v>
      </c>
      <c r="K4" s="5" t="s">
        <v>61</v>
      </c>
    </row>
    <row r="5" spans="1:12" ht="28.8" x14ac:dyDescent="0.3">
      <c r="A5" s="35" t="s">
        <v>62</v>
      </c>
      <c r="B5">
        <f>(0.019-0.002)*B3+(-7.1-0.45)</f>
        <v>-4.7959999999999994</v>
      </c>
      <c r="C5">
        <f t="shared" ref="C5:K5" si="0">(0.019-0.002)*C3+(-7.1-0.45)</f>
        <v>-3.5209999999999999</v>
      </c>
      <c r="D5">
        <f t="shared" si="0"/>
        <v>-2.9259999999999993</v>
      </c>
      <c r="E5">
        <f t="shared" si="0"/>
        <v>-4.4559999999999995</v>
      </c>
      <c r="F5">
        <f t="shared" si="0"/>
        <v>-3.9799999999999995</v>
      </c>
      <c r="G5">
        <f t="shared" si="0"/>
        <v>-4.9149999999999991</v>
      </c>
      <c r="H5">
        <f t="shared" si="0"/>
        <v>-3.8609999999999998</v>
      </c>
      <c r="I5">
        <f t="shared" si="0"/>
        <v>-3.3</v>
      </c>
      <c r="J5">
        <f t="shared" si="0"/>
        <v>-3.3</v>
      </c>
      <c r="K5" s="5">
        <f t="shared" si="0"/>
        <v>-2.8239999999999998</v>
      </c>
    </row>
    <row r="6" spans="1:12" x14ac:dyDescent="0.3">
      <c r="A6" s="36" t="s">
        <v>63</v>
      </c>
      <c r="B6">
        <f>0.019*B3-7.1</f>
        <v>-4.0220000000000002</v>
      </c>
      <c r="C6">
        <f t="shared" ref="C6:K6" si="1">0.019*C3-7.1</f>
        <v>-2.5969999999999995</v>
      </c>
      <c r="D6">
        <f t="shared" si="1"/>
        <v>-1.9319999999999995</v>
      </c>
      <c r="E6">
        <f t="shared" si="1"/>
        <v>-3.6419999999999999</v>
      </c>
      <c r="F6">
        <f t="shared" si="1"/>
        <v>-3.11</v>
      </c>
      <c r="G6">
        <f t="shared" si="1"/>
        <v>-4.1549999999999994</v>
      </c>
      <c r="H6">
        <f t="shared" si="1"/>
        <v>-2.9769999999999994</v>
      </c>
      <c r="I6">
        <f t="shared" si="1"/>
        <v>-2.3499999999999996</v>
      </c>
      <c r="J6">
        <f t="shared" si="1"/>
        <v>-2.3499999999999996</v>
      </c>
      <c r="K6" s="5">
        <f t="shared" si="1"/>
        <v>-1.8179999999999996</v>
      </c>
    </row>
    <row r="7" spans="1:12" x14ac:dyDescent="0.3">
      <c r="A7" s="37" t="s">
        <v>64</v>
      </c>
      <c r="B7">
        <f>(0.019+0.002)*B3+(-7.1+0.45)</f>
        <v>-3.2479999999999998</v>
      </c>
      <c r="C7">
        <f t="shared" ref="C7:K7" si="2">(0.019+0.002)*C3+(-7.1+0.45)</f>
        <v>-1.673</v>
      </c>
      <c r="D7">
        <f t="shared" si="2"/>
        <v>-0.93799999999999972</v>
      </c>
      <c r="E7">
        <f t="shared" si="2"/>
        <v>-2.8279999999999998</v>
      </c>
      <c r="F7">
        <f t="shared" si="2"/>
        <v>-2.2400000000000002</v>
      </c>
      <c r="G7">
        <f t="shared" si="2"/>
        <v>-3.395</v>
      </c>
      <c r="H7">
        <f t="shared" si="2"/>
        <v>-2.093</v>
      </c>
      <c r="I7">
        <f t="shared" si="2"/>
        <v>-1.4000000000000004</v>
      </c>
      <c r="J7">
        <f t="shared" si="2"/>
        <v>-1.4000000000000004</v>
      </c>
      <c r="K7" s="5">
        <f t="shared" si="2"/>
        <v>-0.81200000000000028</v>
      </c>
    </row>
    <row r="8" spans="1:12" x14ac:dyDescent="0.3">
      <c r="A8" s="37" t="s">
        <v>65</v>
      </c>
      <c r="B8">
        <f>(0.019-0.002)*B3+(-7.1+0.45)</f>
        <v>-3.8959999999999995</v>
      </c>
      <c r="C8">
        <f t="shared" ref="C8:K8" si="3">(0.019-0.002)*C3+(-7.1+0.45)</f>
        <v>-2.6209999999999996</v>
      </c>
      <c r="D8">
        <f t="shared" si="3"/>
        <v>-2.0259999999999989</v>
      </c>
      <c r="E8">
        <f t="shared" si="3"/>
        <v>-3.5559999999999992</v>
      </c>
      <c r="F8">
        <f t="shared" si="3"/>
        <v>-3.0799999999999992</v>
      </c>
      <c r="G8">
        <f t="shared" si="3"/>
        <v>-4.0149999999999988</v>
      </c>
      <c r="H8">
        <f t="shared" si="3"/>
        <v>-2.9609999999999994</v>
      </c>
      <c r="I8">
        <f t="shared" si="3"/>
        <v>-2.3999999999999995</v>
      </c>
      <c r="J8">
        <f t="shared" si="3"/>
        <v>-2.3999999999999995</v>
      </c>
      <c r="K8" s="5">
        <f t="shared" si="3"/>
        <v>-1.9239999999999995</v>
      </c>
    </row>
    <row r="9" spans="1:12" x14ac:dyDescent="0.3">
      <c r="A9" s="37" t="s">
        <v>66</v>
      </c>
      <c r="B9">
        <f>(0.019+0.002)*B3+(-7.1-0.45)</f>
        <v>-4.1479999999999997</v>
      </c>
      <c r="C9">
        <f t="shared" ref="C9:K9" si="4">(0.019+0.002)*C3+(-7.1-0.45)</f>
        <v>-2.5730000000000004</v>
      </c>
      <c r="D9">
        <f t="shared" si="4"/>
        <v>-1.8380000000000001</v>
      </c>
      <c r="E9">
        <f t="shared" si="4"/>
        <v>-3.7280000000000002</v>
      </c>
      <c r="F9">
        <f t="shared" si="4"/>
        <v>-3.1400000000000006</v>
      </c>
      <c r="G9">
        <f t="shared" si="4"/>
        <v>-4.2949999999999999</v>
      </c>
      <c r="H9">
        <f t="shared" si="4"/>
        <v>-2.9930000000000003</v>
      </c>
      <c r="I9">
        <f t="shared" si="4"/>
        <v>-2.3000000000000007</v>
      </c>
      <c r="J9">
        <f t="shared" si="4"/>
        <v>-2.3000000000000007</v>
      </c>
      <c r="K9" s="5">
        <f t="shared" si="4"/>
        <v>-1.7120000000000006</v>
      </c>
    </row>
    <row r="10" spans="1:12" x14ac:dyDescent="0.3">
      <c r="A10" s="37" t="s">
        <v>67</v>
      </c>
      <c r="B10">
        <f>AVERAGE(B5:B9)</f>
        <v>-4.0220000000000002</v>
      </c>
      <c r="C10">
        <f t="shared" ref="C10:K10" si="5">AVERAGE(C5:C9)</f>
        <v>-2.597</v>
      </c>
      <c r="D10">
        <f t="shared" si="5"/>
        <v>-1.9319999999999993</v>
      </c>
      <c r="E10">
        <f t="shared" si="5"/>
        <v>-3.6419999999999995</v>
      </c>
      <c r="F10">
        <f t="shared" si="5"/>
        <v>-3.1100000000000003</v>
      </c>
      <c r="G10">
        <f t="shared" si="5"/>
        <v>-4.1549999999999994</v>
      </c>
      <c r="H10">
        <f t="shared" si="5"/>
        <v>-2.9769999999999999</v>
      </c>
      <c r="I10">
        <f t="shared" si="5"/>
        <v>-2.35</v>
      </c>
      <c r="J10">
        <f t="shared" si="5"/>
        <v>-2.35</v>
      </c>
      <c r="K10" s="5">
        <f t="shared" si="5"/>
        <v>-1.8180000000000001</v>
      </c>
    </row>
    <row r="11" spans="1:12" x14ac:dyDescent="0.3">
      <c r="A11" s="7"/>
      <c r="B11" t="s">
        <v>68</v>
      </c>
      <c r="C11" t="s">
        <v>68</v>
      </c>
      <c r="D11" t="s">
        <v>68</v>
      </c>
      <c r="E11" t="s">
        <v>68</v>
      </c>
      <c r="F11" t="s">
        <v>68</v>
      </c>
      <c r="G11" t="s">
        <v>68</v>
      </c>
      <c r="H11" t="s">
        <v>68</v>
      </c>
      <c r="I11" t="s">
        <v>68</v>
      </c>
      <c r="J11" t="s">
        <v>68</v>
      </c>
      <c r="K11" s="5" t="s">
        <v>68</v>
      </c>
    </row>
    <row r="12" spans="1:12" ht="15" thickBot="1" x14ac:dyDescent="0.35">
      <c r="A12" s="8"/>
      <c r="B12" s="38">
        <f>10^B10</f>
        <v>9.506047936562795E-5</v>
      </c>
      <c r="C12" s="38">
        <f t="shared" ref="C12:K12" si="6">10^C10</f>
        <v>2.5292979964461428E-3</v>
      </c>
      <c r="D12" s="38">
        <f t="shared" si="6"/>
        <v>1.1694993910198723E-2</v>
      </c>
      <c r="E12" s="38">
        <f t="shared" si="6"/>
        <v>2.2803420720004172E-4</v>
      </c>
      <c r="F12" s="38">
        <f t="shared" si="6"/>
        <v>7.7624711662869063E-4</v>
      </c>
      <c r="G12" s="38">
        <f t="shared" si="6"/>
        <v>6.9984199600227391E-5</v>
      </c>
      <c r="H12" s="38">
        <f t="shared" si="6"/>
        <v>1.0543868963912584E-3</v>
      </c>
      <c r="I12" s="38">
        <f t="shared" si="6"/>
        <v>4.4668359215096279E-3</v>
      </c>
      <c r="J12" s="38">
        <f t="shared" si="6"/>
        <v>4.4668359215096279E-3</v>
      </c>
      <c r="K12" s="39">
        <f t="shared" si="6"/>
        <v>1.5205475297324944E-2</v>
      </c>
    </row>
    <row r="13" spans="1:12" x14ac:dyDescent="0.3">
      <c r="A13" t="s">
        <v>69</v>
      </c>
      <c r="B13">
        <f>2.65*(1-0.37)</f>
        <v>1.6695</v>
      </c>
      <c r="C13" t="s">
        <v>70</v>
      </c>
    </row>
    <row r="14" spans="1:12" ht="29.4" thickBot="1" x14ac:dyDescent="0.35">
      <c r="A14" s="40" t="s">
        <v>71</v>
      </c>
      <c r="C14" s="41">
        <v>125.4766</v>
      </c>
      <c r="D14" s="41">
        <v>74.297499999999999</v>
      </c>
      <c r="E14" s="41">
        <v>75.791899999999998</v>
      </c>
      <c r="F14" s="41">
        <v>44.241</v>
      </c>
      <c r="G14" s="41">
        <v>39.621000000000002</v>
      </c>
      <c r="H14" s="41">
        <v>21.523800000000001</v>
      </c>
      <c r="I14" s="41">
        <v>45.165999999999997</v>
      </c>
      <c r="J14" s="41">
        <v>3.9582000000000002</v>
      </c>
      <c r="K14" s="41">
        <v>7.2191999999999998</v>
      </c>
      <c r="L14" s="42">
        <v>1.1399999999999999</v>
      </c>
    </row>
    <row r="15" spans="1:12" x14ac:dyDescent="0.3">
      <c r="A15" s="1"/>
      <c r="B15" s="2"/>
      <c r="C15" s="43" t="s">
        <v>54</v>
      </c>
      <c r="D15" s="44" t="s">
        <v>49</v>
      </c>
      <c r="E15" s="44" t="s">
        <v>52</v>
      </c>
      <c r="F15" s="44" t="s">
        <v>53</v>
      </c>
      <c r="G15" s="44" t="s">
        <v>55</v>
      </c>
      <c r="H15" s="44" t="s">
        <v>72</v>
      </c>
      <c r="I15" s="44" t="s">
        <v>50</v>
      </c>
      <c r="J15" s="44" t="s">
        <v>51</v>
      </c>
      <c r="K15" s="44" t="s">
        <v>58</v>
      </c>
      <c r="L15" s="45" t="s">
        <v>57</v>
      </c>
    </row>
    <row r="16" spans="1:12" x14ac:dyDescent="0.3">
      <c r="A16" s="46" t="s">
        <v>73</v>
      </c>
      <c r="B16" s="47"/>
      <c r="C16" s="48">
        <f>147.2449*10^-9</f>
        <v>1.472449E-7</v>
      </c>
      <c r="D16" s="49">
        <f>58.2278*10^-9</f>
        <v>5.8227800000000006E-8</v>
      </c>
      <c r="E16" s="49">
        <f>88.1341*10^-9</f>
        <v>8.8134100000000006E-8</v>
      </c>
      <c r="F16" s="49">
        <f>53.5897*10^-9</f>
        <v>5.3589700000000002E-8</v>
      </c>
      <c r="G16" s="49">
        <f>56.2537*10^-9</f>
        <v>5.6253700000000006E-8</v>
      </c>
      <c r="H16" s="49">
        <f>43.4106*10^-9</f>
        <v>4.3410600000000002E-8</v>
      </c>
      <c r="I16" s="49">
        <f>59.8225*10^-9</f>
        <v>5.9822500000000005E-8</v>
      </c>
      <c r="J16" s="49">
        <f>5.9837*10^-9</f>
        <v>5.9837000000000003E-9</v>
      </c>
      <c r="K16" s="49">
        <f>2.306*10^-9</f>
        <v>2.3060000000000001E-9</v>
      </c>
      <c r="L16" s="50">
        <f>1.807*10^-9</f>
        <v>1.8070000000000001E-9</v>
      </c>
    </row>
    <row r="17" spans="1:13" x14ac:dyDescent="0.3">
      <c r="A17" s="51" t="s">
        <v>74</v>
      </c>
      <c r="C17" s="52">
        <v>0.186</v>
      </c>
      <c r="D17" s="53">
        <v>0.186</v>
      </c>
      <c r="E17" s="53">
        <v>0.186</v>
      </c>
      <c r="F17" s="53">
        <v>0.186</v>
      </c>
      <c r="G17" s="53">
        <v>0.186</v>
      </c>
      <c r="H17" s="53">
        <v>0.186</v>
      </c>
      <c r="I17" s="53">
        <v>0.186</v>
      </c>
      <c r="J17" s="53">
        <v>0.186</v>
      </c>
      <c r="K17" s="53">
        <v>0.186</v>
      </c>
      <c r="L17" s="54">
        <v>0.186</v>
      </c>
      <c r="M17" t="s">
        <v>75</v>
      </c>
    </row>
    <row r="18" spans="1:13" x14ac:dyDescent="0.3">
      <c r="A18" s="51" t="s">
        <v>76</v>
      </c>
      <c r="C18" s="48">
        <f>C14*10^-9</f>
        <v>1.2547660000000001E-7</v>
      </c>
      <c r="D18" s="49">
        <f t="shared" ref="D18:L18" si="7">D14*10^-9</f>
        <v>7.4297500000000007E-8</v>
      </c>
      <c r="E18" s="49">
        <f t="shared" si="7"/>
        <v>7.5791900000000003E-8</v>
      </c>
      <c r="F18" s="49">
        <f t="shared" si="7"/>
        <v>4.4241000000000006E-8</v>
      </c>
      <c r="G18" s="49">
        <f>G14*10^-9</f>
        <v>3.9621000000000008E-8</v>
      </c>
      <c r="H18" s="49">
        <f t="shared" si="7"/>
        <v>2.1523800000000004E-8</v>
      </c>
      <c r="I18" s="49">
        <f t="shared" si="7"/>
        <v>4.5166000000000002E-8</v>
      </c>
      <c r="J18" s="49">
        <f t="shared" si="7"/>
        <v>3.9582000000000007E-9</v>
      </c>
      <c r="K18" s="49">
        <f t="shared" si="7"/>
        <v>7.2192000000000001E-9</v>
      </c>
      <c r="L18" s="55">
        <f t="shared" si="7"/>
        <v>1.14E-9</v>
      </c>
      <c r="M18" t="s">
        <v>77</v>
      </c>
    </row>
    <row r="19" spans="1:13" x14ac:dyDescent="0.3">
      <c r="A19" s="51" t="s">
        <v>78</v>
      </c>
      <c r="C19" s="56">
        <f>0.381*0.37</f>
        <v>0.14097000000000001</v>
      </c>
      <c r="D19" s="57">
        <f>0.381*0.37</f>
        <v>0.14097000000000001</v>
      </c>
      <c r="E19" s="57">
        <f t="shared" ref="E19:L19" si="8">0.381*0.37</f>
        <v>0.14097000000000001</v>
      </c>
      <c r="F19" s="57">
        <f t="shared" si="8"/>
        <v>0.14097000000000001</v>
      </c>
      <c r="G19" s="57">
        <f t="shared" si="8"/>
        <v>0.14097000000000001</v>
      </c>
      <c r="H19" s="57">
        <f t="shared" si="8"/>
        <v>0.14097000000000001</v>
      </c>
      <c r="I19" s="57">
        <f t="shared" si="8"/>
        <v>0.14097000000000001</v>
      </c>
      <c r="J19" s="57">
        <f t="shared" si="8"/>
        <v>0.14097000000000001</v>
      </c>
      <c r="K19" s="57">
        <f t="shared" si="8"/>
        <v>0.14097000000000001</v>
      </c>
      <c r="L19" s="58">
        <f t="shared" si="8"/>
        <v>0.14097000000000001</v>
      </c>
      <c r="M19" t="s">
        <v>79</v>
      </c>
    </row>
    <row r="20" spans="1:13" x14ac:dyDescent="0.3">
      <c r="A20" s="51" t="s">
        <v>80</v>
      </c>
      <c r="C20" s="56">
        <v>0.38100000000000001</v>
      </c>
      <c r="D20" s="57">
        <v>0.38100000000000001</v>
      </c>
      <c r="E20" s="57">
        <v>0.38100000000000001</v>
      </c>
      <c r="F20" s="57">
        <v>0.38100000000000001</v>
      </c>
      <c r="G20" s="57">
        <v>0.38100000000000001</v>
      </c>
      <c r="H20" s="57">
        <v>0.38100000000000001</v>
      </c>
      <c r="I20" s="57">
        <v>0.38100000000000001</v>
      </c>
      <c r="J20" s="57">
        <v>0.38100000000000001</v>
      </c>
      <c r="K20" s="57">
        <v>0.38100000000000001</v>
      </c>
      <c r="L20" s="58">
        <v>0.38100000000000001</v>
      </c>
      <c r="M20" t="s">
        <v>81</v>
      </c>
    </row>
    <row r="21" spans="1:13" x14ac:dyDescent="0.3">
      <c r="A21" s="51" t="s">
        <v>82</v>
      </c>
      <c r="C21" s="56">
        <f>$B$13*C20</f>
        <v>0.63607950000000002</v>
      </c>
      <c r="D21" s="56">
        <f t="shared" ref="D21:L21" si="9">$B$13*D20</f>
        <v>0.63607950000000002</v>
      </c>
      <c r="E21" s="56">
        <f t="shared" si="9"/>
        <v>0.63607950000000002</v>
      </c>
      <c r="F21" s="56">
        <f t="shared" si="9"/>
        <v>0.63607950000000002</v>
      </c>
      <c r="G21" s="56">
        <f t="shared" si="9"/>
        <v>0.63607950000000002</v>
      </c>
      <c r="H21" s="56">
        <f t="shared" si="9"/>
        <v>0.63607950000000002</v>
      </c>
      <c r="I21" s="56">
        <f t="shared" si="9"/>
        <v>0.63607950000000002</v>
      </c>
      <c r="J21" s="56">
        <f t="shared" si="9"/>
        <v>0.63607950000000002</v>
      </c>
      <c r="K21" s="56">
        <f t="shared" si="9"/>
        <v>0.63607950000000002</v>
      </c>
      <c r="L21" s="56">
        <f t="shared" si="9"/>
        <v>0.63607950000000002</v>
      </c>
      <c r="M21" t="s">
        <v>83</v>
      </c>
    </row>
    <row r="22" spans="1:13" ht="15" thickBot="1" x14ac:dyDescent="0.35">
      <c r="A22" s="59" t="s">
        <v>84</v>
      </c>
      <c r="B22" s="9"/>
      <c r="C22" s="60">
        <f t="shared" ref="C22:L22" si="10">(C16*C17-C18*C19)/(C18*C21)</f>
        <v>0.12152285714891017</v>
      </c>
      <c r="D22" s="61">
        <f t="shared" si="10"/>
        <v>7.5467391325132766E-3</v>
      </c>
      <c r="E22" s="61">
        <f t="shared" si="10"/>
        <v>0.11841105737502543</v>
      </c>
      <c r="F22" s="61">
        <f t="shared" si="10"/>
        <v>0.13258440900555948</v>
      </c>
      <c r="G22" s="61">
        <f t="shared" si="10"/>
        <v>0.19354794616203921</v>
      </c>
      <c r="H22" s="61">
        <f t="shared" si="10"/>
        <v>0.36814093146862475</v>
      </c>
      <c r="I22" s="61">
        <f t="shared" si="10"/>
        <v>0.16568298099983</v>
      </c>
      <c r="J22" s="61">
        <f t="shared" si="10"/>
        <v>0.22042902659729713</v>
      </c>
      <c r="K22" s="62">
        <f t="shared" si="10"/>
        <v>-0.12821788568413428</v>
      </c>
      <c r="L22" s="63">
        <f t="shared" si="10"/>
        <v>0.24188221093349763</v>
      </c>
    </row>
    <row r="24" spans="1:13" x14ac:dyDescent="0.3">
      <c r="I24" s="64"/>
      <c r="J24" t="s">
        <v>85</v>
      </c>
    </row>
    <row r="25" spans="1:13" x14ac:dyDescent="0.3">
      <c r="C25" s="47" t="s">
        <v>86</v>
      </c>
      <c r="D25" s="47" t="s">
        <v>87</v>
      </c>
    </row>
    <row r="26" spans="1:13" x14ac:dyDescent="0.3">
      <c r="C26" t="s">
        <v>88</v>
      </c>
      <c r="D26" t="s">
        <v>88</v>
      </c>
    </row>
    <row r="27" spans="1:13" x14ac:dyDescent="0.3">
      <c r="A27" t="s">
        <v>89</v>
      </c>
      <c r="B27" s="65" t="s">
        <v>49</v>
      </c>
      <c r="C27" s="66">
        <v>8.0000000000000002E-3</v>
      </c>
      <c r="D27" s="67">
        <f>10^(0.0012*B3-1.32)</f>
        <v>7.4885890752164327E-2</v>
      </c>
    </row>
    <row r="28" spans="1:13" x14ac:dyDescent="0.3">
      <c r="A28" t="s">
        <v>90</v>
      </c>
      <c r="B28" s="65" t="s">
        <v>50</v>
      </c>
      <c r="C28" s="66">
        <v>0.16600000000000001</v>
      </c>
      <c r="D28" s="67">
        <f>10^(0.0114*C$3-3.76)</f>
        <v>8.7458092307520191E-2</v>
      </c>
    </row>
    <row r="29" spans="1:13" x14ac:dyDescent="0.3">
      <c r="A29" t="s">
        <v>90</v>
      </c>
      <c r="B29" s="65" t="s">
        <v>51</v>
      </c>
      <c r="C29" s="66">
        <v>0.22</v>
      </c>
      <c r="D29" s="67">
        <f>10^(0.0114*D$3-3.76)</f>
        <v>0.21917953438441312</v>
      </c>
    </row>
    <row r="30" spans="1:13" x14ac:dyDescent="0.3">
      <c r="A30" t="s">
        <v>89</v>
      </c>
      <c r="B30" s="65" t="s">
        <v>52</v>
      </c>
      <c r="C30" s="66">
        <v>0.11799999999999999</v>
      </c>
      <c r="D30" s="67">
        <f>10^(0.0012*E3-1.32)</f>
        <v>7.9140720539948473E-2</v>
      </c>
    </row>
    <row r="31" spans="1:13" x14ac:dyDescent="0.3">
      <c r="A31" t="s">
        <v>89</v>
      </c>
      <c r="B31" s="65" t="s">
        <v>53</v>
      </c>
      <c r="C31" s="66">
        <v>0.13300000000000001</v>
      </c>
      <c r="D31" s="67">
        <f>10^(0.0012*F3-1.32)</f>
        <v>8.5506671288468297E-2</v>
      </c>
    </row>
    <row r="32" spans="1:13" x14ac:dyDescent="0.3">
      <c r="A32" t="s">
        <v>89</v>
      </c>
      <c r="B32" s="65" t="s">
        <v>54</v>
      </c>
      <c r="C32" s="66">
        <v>0.122</v>
      </c>
      <c r="D32" s="67">
        <f>10^(0.0012*G3-1.32)</f>
        <v>7.3451386815711464E-2</v>
      </c>
    </row>
    <row r="33" spans="1:4" x14ac:dyDescent="0.3">
      <c r="A33" t="s">
        <v>90</v>
      </c>
      <c r="B33" s="65" t="s">
        <v>55</v>
      </c>
      <c r="C33" s="66">
        <v>0.19400000000000001</v>
      </c>
      <c r="D33" s="67">
        <f>10^(0.0114*H$3-3.76)</f>
        <v>5.1736852007306121E-2</v>
      </c>
    </row>
    <row r="34" spans="1:4" x14ac:dyDescent="0.3">
      <c r="A34" t="s">
        <v>89</v>
      </c>
      <c r="B34" s="68" t="s">
        <v>56</v>
      </c>
      <c r="C34" s="66">
        <v>0.36799999999999999</v>
      </c>
      <c r="D34" s="67">
        <f>10^(0.0012*I3-1.32)</f>
        <v>9.5499258602143561E-2</v>
      </c>
    </row>
    <row r="35" spans="1:4" x14ac:dyDescent="0.3">
      <c r="A35" t="s">
        <v>90</v>
      </c>
      <c r="B35" s="68" t="s">
        <v>58</v>
      </c>
      <c r="C35" s="66">
        <v>0.22</v>
      </c>
      <c r="D35" s="67">
        <f>10^(0.0114*K$3-3.76)</f>
        <v>0.25656652970348692</v>
      </c>
    </row>
    <row r="36" spans="1:4" x14ac:dyDescent="0.3">
      <c r="A36" t="s">
        <v>89</v>
      </c>
      <c r="B36" s="69" t="s">
        <v>57</v>
      </c>
      <c r="C36" s="66">
        <v>0.24199999999999999</v>
      </c>
      <c r="D36" s="67">
        <f>10^(0.0012*J3-1.32)</f>
        <v>9.5499258602143561E-2</v>
      </c>
    </row>
  </sheetData>
  <dataValidations count="1">
    <dataValidation type="decimal" errorStyle="warning" operator="greaterThan" allowBlank="1" showInputMessage="1" showErrorMessage="1" sqref="L16" xr:uid="{C73028D0-F1B2-486E-A85E-D3A0D8B1E22A}">
      <formula1>0.01</formula1>
    </dataValidation>
  </dataValidations>
  <hyperlinks>
    <hyperlink ref="L3" r:id="rId1" xr:uid="{0F6C9A42-0B39-43CF-B044-D4C57694C70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A2592-3A5B-415A-8357-DD1DCE334645}">
  <dimension ref="A1:BG209"/>
  <sheetViews>
    <sheetView workbookViewId="0">
      <selection activeCell="AF140" sqref="AF140"/>
    </sheetView>
  </sheetViews>
  <sheetFormatPr defaultRowHeight="14.4" x14ac:dyDescent="0.3"/>
  <cols>
    <col min="1" max="1" width="21.109375" customWidth="1"/>
    <col min="23" max="23" width="15.6640625" customWidth="1"/>
    <col min="34" max="34" width="24.5546875" customWidth="1"/>
  </cols>
  <sheetData>
    <row r="1" spans="1:59" ht="18.600000000000001" thickBot="1" x14ac:dyDescent="0.4">
      <c r="A1" s="70" t="s">
        <v>91</v>
      </c>
      <c r="AH1" s="70" t="s">
        <v>92</v>
      </c>
    </row>
    <row r="2" spans="1:59" ht="58.8" x14ac:dyDescent="0.4">
      <c r="A2" s="71" t="s">
        <v>93</v>
      </c>
      <c r="W2" s="72" t="s">
        <v>147</v>
      </c>
      <c r="X2" s="73" t="s">
        <v>95</v>
      </c>
      <c r="Y2" s="73" t="s">
        <v>153</v>
      </c>
      <c r="Z2" s="74" t="s">
        <v>97</v>
      </c>
      <c r="AA2" s="75" t="s">
        <v>98</v>
      </c>
      <c r="AB2" s="76" t="s">
        <v>99</v>
      </c>
      <c r="AC2" s="76" t="s">
        <v>100</v>
      </c>
      <c r="AD2" s="74" t="s">
        <v>101</v>
      </c>
      <c r="AF2" s="30"/>
      <c r="AG2" s="30"/>
      <c r="AH2" s="71" t="s">
        <v>102</v>
      </c>
    </row>
    <row r="3" spans="1:59" x14ac:dyDescent="0.3">
      <c r="A3" s="30" t="s">
        <v>103</v>
      </c>
      <c r="B3" s="77" t="s">
        <v>104</v>
      </c>
      <c r="W3" s="78" t="s">
        <v>49</v>
      </c>
      <c r="X3" s="79">
        <f t="shared" ref="X3:X12" si="0">BC18</f>
        <v>14.469152716704</v>
      </c>
      <c r="Y3" s="79">
        <f t="shared" ref="Y3:Y12" si="1">SUM(V18,V48,V78,V108)</f>
        <v>12.180560351683567</v>
      </c>
      <c r="Z3" s="80">
        <f>(Y3-X3)/X3</f>
        <v>-0.15817044783682141</v>
      </c>
      <c r="AA3" s="81">
        <f>V18/X3</f>
        <v>0.76017488066423611</v>
      </c>
      <c r="AB3" s="82">
        <f>V48/X3</f>
        <v>7.2282813455373509E-3</v>
      </c>
      <c r="AC3" s="82">
        <f>V78/X3</f>
        <v>6.7962286569554537E-4</v>
      </c>
      <c r="AD3" s="83">
        <f t="shared" ref="AD3:AD12" si="2">V108/X3</f>
        <v>7.3746767287709597E-2</v>
      </c>
      <c r="AF3" s="84"/>
      <c r="AG3" s="84"/>
      <c r="AH3" s="30" t="s">
        <v>103</v>
      </c>
      <c r="AI3" s="47" t="s">
        <v>104</v>
      </c>
    </row>
    <row r="4" spans="1:59" x14ac:dyDescent="0.3">
      <c r="A4" t="s">
        <v>105</v>
      </c>
      <c r="B4">
        <v>0.37</v>
      </c>
      <c r="W4" s="78" t="s">
        <v>50</v>
      </c>
      <c r="X4" s="79">
        <f t="shared" si="0"/>
        <v>14.848123588936001</v>
      </c>
      <c r="Y4" s="79">
        <f t="shared" si="1"/>
        <v>7.3469267755545324</v>
      </c>
      <c r="Z4" s="80">
        <f t="shared" ref="Z4:Z10" si="3">(Y4-X4)/X4</f>
        <v>-0.50519493378752212</v>
      </c>
      <c r="AA4" s="81">
        <f t="shared" ref="AA4:AA12" si="4">V19/X4</f>
        <v>0.26104969207502732</v>
      </c>
      <c r="AB4" s="82">
        <f t="shared" ref="AB4:AB12" si="5">V49/X4</f>
        <v>0.1040609997922658</v>
      </c>
      <c r="AC4" s="82">
        <f t="shared" ref="AC4:AC12" si="6">V79/X4</f>
        <v>0.12250042529152297</v>
      </c>
      <c r="AD4" s="83">
        <f t="shared" si="2"/>
        <v>7.1939490536617823E-3</v>
      </c>
      <c r="AF4" s="84"/>
      <c r="AG4" s="84"/>
      <c r="AH4" t="s">
        <v>105</v>
      </c>
      <c r="AI4">
        <v>0.37</v>
      </c>
    </row>
    <row r="5" spans="1:59" x14ac:dyDescent="0.3">
      <c r="A5" t="s">
        <v>106</v>
      </c>
      <c r="B5">
        <f>2.65*(1-B4)</f>
        <v>1.6695</v>
      </c>
      <c r="W5" s="78" t="s">
        <v>51</v>
      </c>
      <c r="X5" s="79">
        <f t="shared" si="0"/>
        <v>1.4824424605600002</v>
      </c>
      <c r="Y5" s="79">
        <f t="shared" si="1"/>
        <v>5.3023133702541561</v>
      </c>
      <c r="Z5" s="80">
        <f t="shared" si="3"/>
        <v>2.5767414326834515</v>
      </c>
      <c r="AA5" s="81">
        <f t="shared" si="4"/>
        <v>0.33612453284564886</v>
      </c>
      <c r="AB5" s="82">
        <f t="shared" si="5"/>
        <v>3.7727206276847433E-2</v>
      </c>
      <c r="AC5" s="82">
        <f t="shared" si="6"/>
        <v>1.9747929217376852</v>
      </c>
      <c r="AD5" s="83">
        <f t="shared" si="2"/>
        <v>1.2280967718232703</v>
      </c>
      <c r="AF5" s="84"/>
      <c r="AG5" s="84"/>
      <c r="AH5" t="s">
        <v>106</v>
      </c>
      <c r="AI5">
        <f>2.65*(1-AI4)</f>
        <v>1.6695</v>
      </c>
    </row>
    <row r="6" spans="1:59" x14ac:dyDescent="0.3">
      <c r="A6" t="s">
        <v>107</v>
      </c>
      <c r="B6">
        <v>0.88</v>
      </c>
      <c r="W6" s="85" t="s">
        <v>52</v>
      </c>
      <c r="X6" s="79">
        <f t="shared" si="0"/>
        <v>21.830863014336</v>
      </c>
      <c r="Y6" s="79">
        <f t="shared" si="1"/>
        <v>27.488243003401909</v>
      </c>
      <c r="Z6" s="80">
        <f t="shared" si="3"/>
        <v>0.2591459616301377</v>
      </c>
      <c r="AA6" s="81">
        <f t="shared" si="4"/>
        <v>1.1816164588191027</v>
      </c>
      <c r="AB6" s="82">
        <f t="shared" si="5"/>
        <v>1.3404916000795315E-2</v>
      </c>
      <c r="AC6" s="82">
        <f t="shared" si="6"/>
        <v>6.1156033115712001E-2</v>
      </c>
      <c r="AD6" s="83">
        <f t="shared" si="2"/>
        <v>2.9685536945275818E-3</v>
      </c>
      <c r="AF6" s="84"/>
      <c r="AG6" s="84"/>
      <c r="AH6" t="s">
        <v>107</v>
      </c>
      <c r="AI6">
        <v>1</v>
      </c>
    </row>
    <row r="7" spans="1:59" x14ac:dyDescent="0.3">
      <c r="A7" t="s">
        <v>108</v>
      </c>
      <c r="B7">
        <f>B4*B6</f>
        <v>0.3256</v>
      </c>
      <c r="W7" s="86" t="s">
        <v>53</v>
      </c>
      <c r="X7" s="79">
        <f t="shared" si="0"/>
        <v>13.305839013618002</v>
      </c>
      <c r="Y7" s="79">
        <f t="shared" si="1"/>
        <v>27.576304988057615</v>
      </c>
      <c r="Z7" s="80">
        <f t="shared" si="3"/>
        <v>1.0724965152392385</v>
      </c>
      <c r="AA7" s="81">
        <f t="shared" si="4"/>
        <v>0.85100430883597655</v>
      </c>
      <c r="AB7" s="82">
        <f t="shared" si="5"/>
        <v>4.256408781233878E-2</v>
      </c>
      <c r="AC7" s="82">
        <f t="shared" si="6"/>
        <v>0.193659794106391</v>
      </c>
      <c r="AD7" s="83">
        <f t="shared" si="2"/>
        <v>0.98526832448453228</v>
      </c>
      <c r="AF7" s="84"/>
      <c r="AG7" s="84"/>
      <c r="AH7" t="s">
        <v>108</v>
      </c>
      <c r="AI7">
        <f>AI4*AI6</f>
        <v>0.37</v>
      </c>
    </row>
    <row r="8" spans="1:59" x14ac:dyDescent="0.3">
      <c r="A8" t="s">
        <v>109</v>
      </c>
      <c r="B8">
        <v>0.121</v>
      </c>
      <c r="W8" s="86" t="s">
        <v>54</v>
      </c>
      <c r="X8" s="79">
        <f t="shared" si="0"/>
        <v>36.567628100564001</v>
      </c>
      <c r="Y8" s="79">
        <f t="shared" si="1"/>
        <v>61.296316804208047</v>
      </c>
      <c r="Z8" s="80">
        <f t="shared" si="3"/>
        <v>0.67624535656614393</v>
      </c>
      <c r="AA8" s="81">
        <f t="shared" si="4"/>
        <v>1.2909056755135471</v>
      </c>
      <c r="AB8" s="82">
        <f t="shared" si="5"/>
        <v>9.0974018373988549E-3</v>
      </c>
      <c r="AC8" s="82">
        <f t="shared" si="6"/>
        <v>3.7877543368611002E-2</v>
      </c>
      <c r="AD8" s="83">
        <f t="shared" si="2"/>
        <v>0.33836473584658688</v>
      </c>
      <c r="AF8" s="84"/>
      <c r="AG8" s="84"/>
      <c r="AH8" t="s">
        <v>109</v>
      </c>
      <c r="AI8">
        <v>0.121</v>
      </c>
    </row>
    <row r="9" spans="1:59" x14ac:dyDescent="0.3">
      <c r="A9" s="87"/>
      <c r="B9" s="87"/>
      <c r="W9" s="86" t="s">
        <v>55</v>
      </c>
      <c r="X9" s="79">
        <f t="shared" si="0"/>
        <v>13.966107878243999</v>
      </c>
      <c r="Y9" s="79">
        <f t="shared" si="1"/>
        <v>10.590241373829578</v>
      </c>
      <c r="Z9" s="80">
        <f t="shared" si="3"/>
        <v>-0.24171848977861965</v>
      </c>
      <c r="AA9" s="81">
        <f t="shared" si="4"/>
        <v>0.47947981566194647</v>
      </c>
      <c r="AB9" s="82">
        <f t="shared" si="5"/>
        <v>9.36430416212055E-2</v>
      </c>
      <c r="AC9" s="82">
        <f t="shared" si="6"/>
        <v>9.8577358527351337E-3</v>
      </c>
      <c r="AD9" s="83">
        <f t="shared" si="2"/>
        <v>0.17530091708549331</v>
      </c>
      <c r="AF9" s="84"/>
      <c r="AG9" s="84"/>
      <c r="AH9" s="87"/>
      <c r="AI9" s="87"/>
    </row>
    <row r="10" spans="1:59" x14ac:dyDescent="0.3">
      <c r="A10" s="87"/>
      <c r="B10" s="87"/>
      <c r="W10" s="88" t="s">
        <v>56</v>
      </c>
      <c r="X10" s="79">
        <f t="shared" si="0"/>
        <v>10.763356184192</v>
      </c>
      <c r="Y10" s="79">
        <f t="shared" si="1"/>
        <v>5.7079827177693545</v>
      </c>
      <c r="Z10" s="80">
        <f t="shared" si="3"/>
        <v>-0.46968374732849649</v>
      </c>
      <c r="AA10" s="81">
        <f t="shared" si="4"/>
        <v>0.3137474271430461</v>
      </c>
      <c r="AB10" s="82">
        <f t="shared" si="5"/>
        <v>0.1973634658219077</v>
      </c>
      <c r="AC10" s="82">
        <f t="shared" si="6"/>
        <v>2.2547653681903872E-3</v>
      </c>
      <c r="AD10" s="83">
        <f t="shared" si="2"/>
        <v>1.6950594338359291E-2</v>
      </c>
      <c r="AF10" s="84"/>
      <c r="AG10" s="84"/>
      <c r="AH10" s="87"/>
      <c r="AI10" s="87"/>
    </row>
    <row r="11" spans="1:59" ht="16.2" x14ac:dyDescent="0.3">
      <c r="A11" t="s">
        <v>110</v>
      </c>
      <c r="B11">
        <f>(-2.85*B6+3.6)*((1-B6)*3.9*B8^(-1.2))</f>
        <v>6.4435625252849373</v>
      </c>
      <c r="W11" s="88" t="s">
        <v>58</v>
      </c>
      <c r="X11" s="79">
        <f t="shared" si="0"/>
        <v>2.7038282270799998</v>
      </c>
      <c r="Y11" s="79">
        <f t="shared" si="1"/>
        <v>2.1755813980528278</v>
      </c>
      <c r="Z11" s="80">
        <f>(Y11-X11)/X11</f>
        <v>-0.19536996608606766</v>
      </c>
      <c r="AA11" s="81">
        <f>V26/X11</f>
        <v>0.75993616534022168</v>
      </c>
      <c r="AB11" s="82">
        <f>V56/X11</f>
        <v>4.4693868573710549E-2</v>
      </c>
      <c r="AC11" s="82">
        <f>V86/X11</f>
        <v>0</v>
      </c>
      <c r="AD11" s="83">
        <f t="shared" si="2"/>
        <v>0</v>
      </c>
      <c r="AF11" s="15"/>
      <c r="AG11" s="84"/>
      <c r="AH11" t="s">
        <v>110</v>
      </c>
      <c r="AI11">
        <f>(-2.85*AI6+3.6)*((1-AI6)*3.9*AI8^(-1.2))</f>
        <v>0</v>
      </c>
    </row>
    <row r="12" spans="1:59" ht="15" thickBot="1" x14ac:dyDescent="0.35">
      <c r="A12" s="89"/>
      <c r="B12" s="89"/>
      <c r="W12" s="90" t="s">
        <v>57</v>
      </c>
      <c r="X12" s="91">
        <f t="shared" si="0"/>
        <v>0.44824988327999993</v>
      </c>
      <c r="Y12" s="91">
        <f t="shared" si="1"/>
        <v>0.33733691449763398</v>
      </c>
      <c r="Z12" s="92">
        <f>(Y12-X12)/X12</f>
        <v>-0.24743557760858134</v>
      </c>
      <c r="AA12" s="93">
        <f t="shared" si="4"/>
        <v>0.68488776570154286</v>
      </c>
      <c r="AB12" s="14">
        <f t="shared" si="5"/>
        <v>6.7676656689875783E-2</v>
      </c>
      <c r="AC12" s="14">
        <f t="shared" si="6"/>
        <v>0</v>
      </c>
      <c r="AD12" s="28">
        <f t="shared" si="2"/>
        <v>0</v>
      </c>
      <c r="AF12" s="84"/>
      <c r="AG12" s="84"/>
      <c r="AH12" s="87"/>
      <c r="AI12" s="87"/>
    </row>
    <row r="13" spans="1:59" x14ac:dyDescent="0.3">
      <c r="A13" t="s">
        <v>111</v>
      </c>
      <c r="B13">
        <f>B5*B14</f>
        <v>1.5359400000000001</v>
      </c>
      <c r="X13" s="94"/>
      <c r="Y13" s="94"/>
      <c r="Z13" s="94"/>
      <c r="AF13" s="84"/>
      <c r="AH13" t="s">
        <v>111</v>
      </c>
      <c r="AI13">
        <f>AI5*AI14</f>
        <v>0.84810600000000003</v>
      </c>
    </row>
    <row r="14" spans="1:59" x14ac:dyDescent="0.3">
      <c r="A14" t="s">
        <v>112</v>
      </c>
      <c r="B14">
        <v>0.92</v>
      </c>
      <c r="AB14" s="95"/>
      <c r="AC14" s="95"/>
      <c r="AD14" s="95"/>
      <c r="AE14" s="95"/>
      <c r="AF14" s="95"/>
      <c r="AG14" s="95"/>
      <c r="AH14" t="s">
        <v>113</v>
      </c>
      <c r="AI14">
        <v>0.50800000000000001</v>
      </c>
    </row>
    <row r="15" spans="1:59" x14ac:dyDescent="0.3">
      <c r="C15" s="96"/>
      <c r="D15" s="96"/>
      <c r="E15" s="97"/>
      <c r="F15" s="189"/>
      <c r="G15" s="189"/>
      <c r="N15" s="190" t="s">
        <v>114</v>
      </c>
      <c r="O15" s="190"/>
      <c r="P15" s="190"/>
      <c r="Q15" s="100"/>
      <c r="S15" s="191" t="s">
        <v>115</v>
      </c>
      <c r="T15" s="191"/>
      <c r="U15" s="191"/>
      <c r="V15" s="191"/>
      <c r="X15" t="s">
        <v>116</v>
      </c>
      <c r="AJ15" s="96"/>
      <c r="AK15" s="96"/>
      <c r="AL15" s="97"/>
      <c r="AM15" s="189"/>
      <c r="AN15" s="189"/>
      <c r="AU15" s="190" t="s">
        <v>114</v>
      </c>
      <c r="AV15" s="190"/>
      <c r="AW15" s="190"/>
      <c r="AX15" s="100"/>
      <c r="AZ15" s="191" t="s">
        <v>115</v>
      </c>
      <c r="BA15" s="191"/>
      <c r="BB15" s="191"/>
      <c r="BC15" s="191"/>
      <c r="BE15" t="s">
        <v>116</v>
      </c>
    </row>
    <row r="16" spans="1:59" ht="28.8" x14ac:dyDescent="0.3">
      <c r="C16" s="101" t="s">
        <v>117</v>
      </c>
      <c r="D16" s="102" t="s">
        <v>118</v>
      </c>
      <c r="E16" s="102" t="s">
        <v>119</v>
      </c>
      <c r="F16" s="101"/>
      <c r="G16" s="103" t="s">
        <v>120</v>
      </c>
      <c r="H16" s="102" t="s">
        <v>121</v>
      </c>
      <c r="I16" s="104" t="s">
        <v>122</v>
      </c>
      <c r="J16" s="104" t="s">
        <v>123</v>
      </c>
      <c r="K16" s="105" t="s">
        <v>124</v>
      </c>
      <c r="L16" s="104" t="s">
        <v>125</v>
      </c>
      <c r="M16" s="106" t="s">
        <v>126</v>
      </c>
      <c r="N16" s="107" t="s">
        <v>127</v>
      </c>
      <c r="O16" s="98" t="s">
        <v>128</v>
      </c>
      <c r="P16" s="98" t="s">
        <v>129</v>
      </c>
      <c r="Q16" s="102" t="s">
        <v>130</v>
      </c>
      <c r="S16" s="102" t="s">
        <v>131</v>
      </c>
      <c r="T16" s="98" t="s">
        <v>132</v>
      </c>
      <c r="U16" s="98" t="s">
        <v>133</v>
      </c>
      <c r="V16" s="102" t="s">
        <v>134</v>
      </c>
      <c r="X16" s="102" t="s">
        <v>131</v>
      </c>
      <c r="Y16" s="98" t="s">
        <v>132</v>
      </c>
      <c r="Z16" s="98" t="s">
        <v>133</v>
      </c>
      <c r="AJ16" s="101" t="s">
        <v>117</v>
      </c>
      <c r="AK16" s="102" t="s">
        <v>118</v>
      </c>
      <c r="AL16" s="102" t="s">
        <v>119</v>
      </c>
      <c r="AM16" s="101"/>
      <c r="AN16" s="103" t="s">
        <v>120</v>
      </c>
      <c r="AO16" s="102" t="s">
        <v>121</v>
      </c>
      <c r="AP16" s="104" t="s">
        <v>122</v>
      </c>
      <c r="AQ16" s="104" t="s">
        <v>123</v>
      </c>
      <c r="AR16" s="105" t="s">
        <v>124</v>
      </c>
      <c r="AS16" s="104" t="s">
        <v>125</v>
      </c>
      <c r="AT16" s="106" t="s">
        <v>126</v>
      </c>
      <c r="AU16" s="107" t="s">
        <v>127</v>
      </c>
      <c r="AV16" s="98" t="s">
        <v>128</v>
      </c>
      <c r="AW16" s="98" t="s">
        <v>129</v>
      </c>
      <c r="AX16" s="102" t="s">
        <v>130</v>
      </c>
      <c r="AZ16" s="102" t="s">
        <v>131</v>
      </c>
      <c r="BA16" s="98" t="s">
        <v>132</v>
      </c>
      <c r="BB16" s="98" t="s">
        <v>133</v>
      </c>
      <c r="BC16" s="102" t="s">
        <v>134</v>
      </c>
      <c r="BE16" s="102" t="s">
        <v>131</v>
      </c>
      <c r="BF16" s="98" t="s">
        <v>132</v>
      </c>
      <c r="BG16" s="98" t="s">
        <v>133</v>
      </c>
    </row>
    <row r="17" spans="1:59" x14ac:dyDescent="0.3">
      <c r="A17" s="19" t="s">
        <v>135</v>
      </c>
      <c r="B17" s="98"/>
      <c r="C17" s="101" t="s">
        <v>136</v>
      </c>
      <c r="D17" t="s">
        <v>136</v>
      </c>
      <c r="E17" t="s">
        <v>137</v>
      </c>
      <c r="F17" s="101"/>
      <c r="G17" s="103" t="s">
        <v>88</v>
      </c>
      <c r="H17" s="102" t="s">
        <v>12</v>
      </c>
      <c r="I17" s="87"/>
      <c r="J17" s="87"/>
      <c r="K17" s="87"/>
      <c r="L17" s="87"/>
      <c r="M17" s="87" t="s">
        <v>138</v>
      </c>
      <c r="N17" s="102" t="s">
        <v>139</v>
      </c>
      <c r="O17" s="99" t="s">
        <v>140</v>
      </c>
      <c r="P17" s="99" t="s">
        <v>141</v>
      </c>
      <c r="Q17" s="99" t="s">
        <v>142</v>
      </c>
      <c r="S17" s="99" t="s">
        <v>143</v>
      </c>
      <c r="T17" s="99" t="s">
        <v>143</v>
      </c>
      <c r="U17" s="99" t="s">
        <v>142</v>
      </c>
      <c r="V17" s="102" t="s">
        <v>142</v>
      </c>
      <c r="X17" s="102"/>
      <c r="Y17" s="98"/>
      <c r="Z17" s="98"/>
      <c r="AH17" s="19" t="s">
        <v>135</v>
      </c>
      <c r="AI17" s="98"/>
      <c r="AJ17" s="101" t="s">
        <v>136</v>
      </c>
      <c r="AK17" t="s">
        <v>136</v>
      </c>
      <c r="AL17" t="s">
        <v>137</v>
      </c>
      <c r="AM17" s="101"/>
      <c r="AN17" s="103" t="s">
        <v>88</v>
      </c>
      <c r="AO17" s="102" t="s">
        <v>12</v>
      </c>
      <c r="AP17" s="87"/>
      <c r="AQ17" s="87"/>
      <c r="AR17" s="87"/>
      <c r="AS17" s="87"/>
      <c r="AT17" s="87" t="s">
        <v>138</v>
      </c>
      <c r="AU17" s="102" t="s">
        <v>139</v>
      </c>
      <c r="AV17" s="99" t="s">
        <v>140</v>
      </c>
      <c r="AW17" s="99" t="s">
        <v>141</v>
      </c>
      <c r="AX17" s="99" t="s">
        <v>142</v>
      </c>
      <c r="AZ17" s="99" t="s">
        <v>143</v>
      </c>
      <c r="BA17" s="99" t="s">
        <v>143</v>
      </c>
      <c r="BB17" s="99" t="s">
        <v>142</v>
      </c>
      <c r="BC17" s="102" t="s">
        <v>142</v>
      </c>
      <c r="BE17" s="102"/>
      <c r="BF17" s="98"/>
      <c r="BG17" s="98"/>
    </row>
    <row r="18" spans="1:59" x14ac:dyDescent="0.3">
      <c r="A18" s="108" t="s">
        <v>49</v>
      </c>
      <c r="B18" s="109"/>
      <c r="C18" s="109">
        <v>0.88</v>
      </c>
      <c r="D18" s="109">
        <f>C18*$B$4</f>
        <v>0.3256</v>
      </c>
      <c r="E18" s="109">
        <f>(-2.85*C18+3.6)*((1-C18)*3.9*$B$8^(-1.2))</f>
        <v>6.4435625252849373</v>
      </c>
      <c r="F18" s="110"/>
      <c r="G18" s="66">
        <v>8.0000000000000002E-3</v>
      </c>
      <c r="H18" s="111">
        <v>9.506047936562795E-5</v>
      </c>
      <c r="I18" s="87">
        <f>N18*1000</f>
        <v>35208</v>
      </c>
      <c r="J18" s="87">
        <f>G18*I18</f>
        <v>281.66399999999999</v>
      </c>
      <c r="K18" s="87">
        <f>(I18*H18)/1000</f>
        <v>3.3468893575050286E-3</v>
      </c>
      <c r="L18" s="87">
        <f>(I18*$B$14*$B$7+$B$5*$B$14*J18+$B$14*$B$11*K18*1000)/1000</f>
        <v>10.999086439733071</v>
      </c>
      <c r="M18" s="87">
        <f>L18/$B$13</f>
        <v>7.1611432996946958</v>
      </c>
      <c r="N18" s="112">
        <v>35.207999999999998</v>
      </c>
      <c r="O18" s="112">
        <f>N18*G18</f>
        <v>0.28166399999999997</v>
      </c>
      <c r="P18" s="113">
        <f>(L18-N18*D18*$B$14-O18*$B$13)/(E18*$B$14*1000)*100</f>
        <v>3.3468893575051568E-4</v>
      </c>
      <c r="Q18" s="114">
        <f>N18*D18*$B$14+O18*$B$13+P18/100*E18*$B$14*1000</f>
        <v>10.999086439733071</v>
      </c>
      <c r="R18" s="109"/>
      <c r="S18" s="115">
        <f>N18*D18*$B$14</f>
        <v>10.546626816</v>
      </c>
      <c r="T18" s="116">
        <f t="shared" ref="T18:T27" si="7">O18*$B$13</f>
        <v>0.43261900415999999</v>
      </c>
      <c r="U18" s="116">
        <f>P18/100*E18*$B$14*1000</f>
        <v>1.984061957307159E-2</v>
      </c>
      <c r="V18" s="116">
        <f>SUM(S18:U18)</f>
        <v>10.999086439733071</v>
      </c>
      <c r="W18" s="116"/>
      <c r="X18" s="117">
        <f>S18/V18</f>
        <v>0.95886389054107191</v>
      </c>
      <c r="Y18" s="117">
        <f>T18/V18</f>
        <v>3.9332266959663867E-2</v>
      </c>
      <c r="Z18" s="117">
        <f>U18/V18</f>
        <v>1.8038424992642469E-3</v>
      </c>
      <c r="AC18" s="118"/>
      <c r="AD18" s="118"/>
      <c r="AE18" s="118"/>
      <c r="AF18" s="118"/>
      <c r="AH18" s="108" t="s">
        <v>49</v>
      </c>
      <c r="AI18" s="109"/>
      <c r="AJ18" s="109">
        <v>1</v>
      </c>
      <c r="AK18" s="109">
        <f>AJ18*$B$4</f>
        <v>0.37</v>
      </c>
      <c r="AL18" s="109">
        <f>(-2.85*AJ18+3.6)*((1-AJ18)*3.9*$B$8^(-1.2))</f>
        <v>0</v>
      </c>
      <c r="AM18" s="110"/>
      <c r="AN18" s="66">
        <v>8.0000000000000002E-3</v>
      </c>
      <c r="AO18" s="111">
        <v>9.506047936562795E-5</v>
      </c>
      <c r="AP18" s="87">
        <f>AU18*1000</f>
        <v>74298</v>
      </c>
      <c r="AQ18" s="87">
        <f>AN18*AP18</f>
        <v>594.38400000000001</v>
      </c>
      <c r="AR18" s="87">
        <f>(AP18*AO18)/1000</f>
        <v>7.0628034959074248E-3</v>
      </c>
      <c r="AS18" s="87">
        <f>(AP18*$AI$14*$AI$7+$AI$5*$AI$14*AQ18+$AI$14*$AI$11*AR18*1000)/1000</f>
        <v>14.469152716704</v>
      </c>
      <c r="AT18" s="87">
        <f>AS18/$AI$13</f>
        <v>17.060547522012577</v>
      </c>
      <c r="AU18" s="112">
        <v>74.298000000000002</v>
      </c>
      <c r="AV18" s="112">
        <f>AU18*AN18</f>
        <v>0.59438400000000002</v>
      </c>
      <c r="AW18" s="113" t="e">
        <f>(AS18-AU18*AK18*$AI$14-AV18*$AI$13)/(AL18*$AI$14*1000)*100</f>
        <v>#DIV/0!</v>
      </c>
      <c r="AX18" s="114">
        <f>AU18*AK18*$AI$14+AV18*$AI$13</f>
        <v>14.469152716704</v>
      </c>
      <c r="AY18" s="109"/>
      <c r="AZ18" s="115">
        <f>AU18*AK18*$AI$14</f>
        <v>13.96505208</v>
      </c>
      <c r="BA18" s="116">
        <f>AV18*$AI$13</f>
        <v>0.50410063670400007</v>
      </c>
      <c r="BB18" s="116" t="e">
        <f>AW18/100*AL18*$AI$14*1000</f>
        <v>#DIV/0!</v>
      </c>
      <c r="BC18" s="116">
        <f>SUM(AZ18:BA18)</f>
        <v>14.469152716704</v>
      </c>
      <c r="BD18" s="116"/>
      <c r="BE18" s="117">
        <f>AZ18/BC18</f>
        <v>0.96516032095493476</v>
      </c>
      <c r="BF18" s="117">
        <f>BA18/BC18</f>
        <v>3.4839679045065165E-2</v>
      </c>
      <c r="BG18" s="117" t="e">
        <f>BB18/BC18</f>
        <v>#DIV/0!</v>
      </c>
    </row>
    <row r="19" spans="1:59" x14ac:dyDescent="0.3">
      <c r="A19" s="108" t="s">
        <v>50</v>
      </c>
      <c r="B19" s="119"/>
      <c r="C19" s="120">
        <v>0.88</v>
      </c>
      <c r="D19" s="109">
        <f>C19*$B$4</f>
        <v>0.3256</v>
      </c>
      <c r="E19" s="109">
        <f>(-2.85*C19+3.6)*((1-C19)*3.9*$B$8^(-1.2))</f>
        <v>6.4435625252849373</v>
      </c>
      <c r="F19" s="110"/>
      <c r="G19" s="66">
        <v>0.16600000000000001</v>
      </c>
      <c r="H19" s="111">
        <v>2.5292979964461428E-3</v>
      </c>
      <c r="I19" s="87">
        <f t="shared" ref="I19:I27" si="8">N19*1000</f>
        <v>6806</v>
      </c>
      <c r="J19" s="87">
        <f t="shared" ref="J19:J27" si="9">G19*I19</f>
        <v>1129.796</v>
      </c>
      <c r="K19" s="87">
        <f t="shared" ref="K19:K27" si="10">(I19*H19)/1000</f>
        <v>1.7214402163812446E-2</v>
      </c>
      <c r="L19" s="87">
        <f t="shared" ref="L19:L27" si="11">(I19*$B$14*$B$7+$B$5*$B$14*J19+$B$14*$B$11*K19*1000)/1000</f>
        <v>3.8760980907836924</v>
      </c>
      <c r="M19" s="87">
        <f t="shared" ref="M19:M27" si="12">L19/$B$13</f>
        <v>2.5235999393099289</v>
      </c>
      <c r="N19" s="112">
        <v>6.806</v>
      </c>
      <c r="O19" s="112">
        <f t="shared" ref="O19:O27" si="13">N19*G19</f>
        <v>1.129796</v>
      </c>
      <c r="P19" s="113">
        <f t="shared" ref="P19:P27" si="14">(L19-N19*D19*$B$14-O19*$B$13)/(E19*$B$14*1000)*100</f>
        <v>1.7214402163812565E-3</v>
      </c>
      <c r="Q19" s="114">
        <f t="shared" ref="Q19:Q27" si="15">N19*D19*$B$14+O19*$B$13+P19/100*E19*$B$14*1000</f>
        <v>3.8760980907836924</v>
      </c>
      <c r="R19" s="109"/>
      <c r="S19" s="115">
        <f t="shared" ref="S19:S27" si="16">N19*D19*$B$14</f>
        <v>2.0387509119999998</v>
      </c>
      <c r="T19" s="116">
        <f t="shared" si="7"/>
        <v>1.7352988682400001</v>
      </c>
      <c r="U19" s="116">
        <f t="shared" ref="U19:U27" si="17">P19/100*E19*$B$14*1000</f>
        <v>0.10204831054369246</v>
      </c>
      <c r="V19" s="116">
        <f t="shared" ref="V19:V26" si="18">SUM(S19:U19)</f>
        <v>3.8760980907836924</v>
      </c>
      <c r="W19" s="116"/>
      <c r="X19" s="117">
        <f t="shared" ref="X19:X27" si="19">S19/V19</f>
        <v>0.52598021625087232</v>
      </c>
      <c r="Y19" s="117">
        <f t="shared" ref="Y19:Y27" si="20">T19/V19</f>
        <v>0.44769219653291775</v>
      </c>
      <c r="Z19" s="117">
        <f t="shared" ref="Z19:Z27" si="21">U19/V19</f>
        <v>2.6327587216209931E-2</v>
      </c>
      <c r="AC19" s="118"/>
      <c r="AD19" s="118"/>
      <c r="AE19" s="118"/>
      <c r="AF19" s="118"/>
      <c r="AH19" s="108" t="s">
        <v>50</v>
      </c>
      <c r="AI19" s="119"/>
      <c r="AJ19" s="109">
        <v>1</v>
      </c>
      <c r="AK19" s="109">
        <f>AJ19*$B$4</f>
        <v>0.37</v>
      </c>
      <c r="AL19" s="109">
        <f>(-2.85*AJ19+3.6)*((1-AJ19)*3.9*$B$8^(-1.2))</f>
        <v>0</v>
      </c>
      <c r="AM19" s="110"/>
      <c r="AN19" s="66">
        <v>0.16600000000000001</v>
      </c>
      <c r="AO19" s="111">
        <v>2.5292979964461428E-3</v>
      </c>
      <c r="AP19" s="87">
        <f t="shared" ref="AP19:AP27" si="22">AU19*1000</f>
        <v>45166</v>
      </c>
      <c r="AQ19" s="87">
        <f t="shared" ref="AQ19:AQ27" si="23">AN19*AP19</f>
        <v>7497.5560000000005</v>
      </c>
      <c r="AR19" s="87">
        <f t="shared" ref="AR19:AR27" si="24">(AP19*AO19)/1000</f>
        <v>0.1142382733074865</v>
      </c>
      <c r="AS19" s="87">
        <f t="shared" ref="AS19:AS27" si="25">(AP19*$AI$14*$AI$7+$AI$5*$AI$14*AQ19+$AI$14*$AI$11*AR19*1000)/1000</f>
        <v>14.848123588936</v>
      </c>
      <c r="AT19" s="87">
        <f t="shared" ref="AT19:AT27" si="26">AS19/$AI$13</f>
        <v>17.50739128002396</v>
      </c>
      <c r="AU19" s="112">
        <v>45.165999999999997</v>
      </c>
      <c r="AV19" s="112">
        <f t="shared" ref="AV19:AV27" si="27">AU19*AN19</f>
        <v>7.4975559999999994</v>
      </c>
      <c r="AW19" s="113" t="e">
        <f t="shared" ref="AW19:AW27" si="28">(AS19-AU19*AK19*$AI$14-AV19*$AI$13)/(AL19*$AI$14*1000)*100</f>
        <v>#DIV/0!</v>
      </c>
      <c r="AX19" s="114">
        <f t="shared" ref="AX19:AX27" si="29">AU19*AK19*$AI$14+AV19*$AI$13</f>
        <v>14.848123588936001</v>
      </c>
      <c r="AY19" s="109"/>
      <c r="AZ19" s="115">
        <f t="shared" ref="AZ19:AZ27" si="30">AU19*AK19*$AI$14</f>
        <v>8.4894013600000005</v>
      </c>
      <c r="BA19" s="116">
        <f t="shared" ref="BA19:BA27" si="31">AV19*$AI$13</f>
        <v>6.3587222289360001</v>
      </c>
      <c r="BB19" s="116" t="e">
        <f t="shared" ref="BB19:BB27" si="32">AW19/100*AL19*$AI$14*1000</f>
        <v>#DIV/0!</v>
      </c>
      <c r="BC19" s="116">
        <f t="shared" ref="BC19:BC27" si="33">SUM(AZ19:BA19)</f>
        <v>14.848123588936001</v>
      </c>
      <c r="BD19" s="116"/>
      <c r="BE19" s="117">
        <f t="shared" ref="BE19:BE27" si="34">AZ19/BC19</f>
        <v>0.57174910413096447</v>
      </c>
      <c r="BF19" s="117">
        <f t="shared" ref="BF19:BF27" si="35">BA19/BC19</f>
        <v>0.42825089586903542</v>
      </c>
      <c r="BG19" s="117" t="e">
        <f t="shared" ref="BG19" si="36">BB19/BC19</f>
        <v>#DIV/0!</v>
      </c>
    </row>
    <row r="20" spans="1:59" x14ac:dyDescent="0.3">
      <c r="A20" s="108" t="s">
        <v>51</v>
      </c>
      <c r="B20" s="119"/>
      <c r="C20" s="120">
        <v>0.88</v>
      </c>
      <c r="D20" s="109">
        <f>C20*$B$4</f>
        <v>0.3256</v>
      </c>
      <c r="E20" s="109">
        <f>(-2.85*C20+3.6)*((1-C20)*3.9*$B$8^(-1.2))</f>
        <v>6.4435625252849373</v>
      </c>
      <c r="F20" s="110"/>
      <c r="G20" s="66">
        <v>0.22</v>
      </c>
      <c r="H20" s="111">
        <v>1.1694993910198723E-2</v>
      </c>
      <c r="I20" s="87">
        <f t="shared" si="8"/>
        <v>705</v>
      </c>
      <c r="J20" s="87">
        <f t="shared" si="9"/>
        <v>155.1</v>
      </c>
      <c r="K20" s="87">
        <f t="shared" si="10"/>
        <v>8.2449707066900996E-3</v>
      </c>
      <c r="L20" s="87">
        <f t="shared" si="11"/>
        <v>0.49828527952628437</v>
      </c>
      <c r="M20" s="87">
        <f t="shared" si="12"/>
        <v>0.32441715140323474</v>
      </c>
      <c r="N20" s="112">
        <v>0.70499999999999996</v>
      </c>
      <c r="O20" s="112">
        <f t="shared" si="13"/>
        <v>0.15509999999999999</v>
      </c>
      <c r="P20" s="113">
        <f t="shared" si="14"/>
        <v>8.2449707066900991E-4</v>
      </c>
      <c r="Q20" s="114">
        <f t="shared" si="15"/>
        <v>0.49828527952628432</v>
      </c>
      <c r="R20" s="109"/>
      <c r="S20" s="115">
        <f t="shared" si="16"/>
        <v>0.21118415999999998</v>
      </c>
      <c r="T20" s="116">
        <f t="shared" si="7"/>
        <v>0.238224294</v>
      </c>
      <c r="U20" s="116">
        <f t="shared" si="17"/>
        <v>4.8876825526284362E-2</v>
      </c>
      <c r="V20" s="116">
        <f t="shared" si="18"/>
        <v>0.49828527952628432</v>
      </c>
      <c r="W20" s="116"/>
      <c r="X20" s="117">
        <f t="shared" si="19"/>
        <v>0.42382179180723745</v>
      </c>
      <c r="Y20" s="117">
        <f t="shared" si="20"/>
        <v>0.4780881631230966</v>
      </c>
      <c r="Z20" s="117">
        <f>U20/V20</f>
        <v>9.8090045069666024E-2</v>
      </c>
      <c r="AC20" s="118"/>
      <c r="AD20" s="118"/>
      <c r="AE20" s="118"/>
      <c r="AF20" s="118"/>
      <c r="AH20" s="108" t="s">
        <v>51</v>
      </c>
      <c r="AI20" s="119"/>
      <c r="AJ20" s="109">
        <v>1</v>
      </c>
      <c r="AK20" s="109">
        <f>AJ20*$B$4</f>
        <v>0.37</v>
      </c>
      <c r="AL20" s="109">
        <f>(-2.85*AJ20+3.6)*((1-AJ20)*3.9*$B$8^(-1.2))</f>
        <v>0</v>
      </c>
      <c r="AM20" s="110"/>
      <c r="AN20" s="66">
        <v>0.22</v>
      </c>
      <c r="AO20" s="111">
        <v>1.1694993910198723E-2</v>
      </c>
      <c r="AP20" s="87">
        <f t="shared" si="22"/>
        <v>3958</v>
      </c>
      <c r="AQ20" s="87">
        <f t="shared" si="23"/>
        <v>870.76</v>
      </c>
      <c r="AR20" s="87">
        <f t="shared" si="24"/>
        <v>4.6288785896566542E-2</v>
      </c>
      <c r="AS20" s="87">
        <f t="shared" si="25"/>
        <v>1.4824424605600002</v>
      </c>
      <c r="AT20" s="87">
        <f t="shared" si="26"/>
        <v>1.7479447858640313</v>
      </c>
      <c r="AU20" s="112">
        <v>3.9580000000000002</v>
      </c>
      <c r="AV20" s="112">
        <f t="shared" si="27"/>
        <v>0.87076000000000009</v>
      </c>
      <c r="AW20" s="113" t="e">
        <f t="shared" si="28"/>
        <v>#DIV/0!</v>
      </c>
      <c r="AX20" s="114">
        <f t="shared" si="29"/>
        <v>1.4824424605600002</v>
      </c>
      <c r="AY20" s="109"/>
      <c r="AZ20" s="115">
        <f t="shared" si="30"/>
        <v>0.74394568000000005</v>
      </c>
      <c r="BA20" s="116">
        <f t="shared" si="31"/>
        <v>0.73849678056000012</v>
      </c>
      <c r="BB20" s="116" t="e">
        <f t="shared" si="32"/>
        <v>#DIV/0!</v>
      </c>
      <c r="BC20" s="116">
        <f t="shared" si="33"/>
        <v>1.4824424605600002</v>
      </c>
      <c r="BD20" s="116"/>
      <c r="BE20" s="117">
        <f t="shared" si="34"/>
        <v>0.5018378114446147</v>
      </c>
      <c r="BF20" s="117">
        <f t="shared" si="35"/>
        <v>0.4981621885553853</v>
      </c>
      <c r="BG20" s="117" t="e">
        <f>BB20/BC20</f>
        <v>#DIV/0!</v>
      </c>
    </row>
    <row r="21" spans="1:59" x14ac:dyDescent="0.3">
      <c r="A21" s="121" t="s">
        <v>52</v>
      </c>
      <c r="B21" s="109"/>
      <c r="C21" s="120">
        <v>0.88</v>
      </c>
      <c r="D21" s="109">
        <f>C21*$B$4</f>
        <v>0.3256</v>
      </c>
      <c r="E21" s="109">
        <f>(-2.85*C21+3.6)*((1-C21)*3.9*$B$8^(-1.2))</f>
        <v>6.4435625252849373</v>
      </c>
      <c r="F21" s="110"/>
      <c r="G21" s="66">
        <v>0.11799999999999999</v>
      </c>
      <c r="H21" s="111">
        <v>2.2803420720004172E-4</v>
      </c>
      <c r="I21" s="87">
        <f t="shared" si="8"/>
        <v>53502</v>
      </c>
      <c r="J21" s="87">
        <f t="shared" si="9"/>
        <v>6313.2359999999999</v>
      </c>
      <c r="K21" s="87">
        <f t="shared" si="10"/>
        <v>1.2200286153616633E-2</v>
      </c>
      <c r="L21" s="87">
        <f t="shared" si="11"/>
        <v>25.795707047964626</v>
      </c>
      <c r="M21" s="87">
        <f t="shared" si="12"/>
        <v>16.794736153732973</v>
      </c>
      <c r="N21" s="112">
        <v>53.502000000000002</v>
      </c>
      <c r="O21" s="112">
        <f t="shared" si="13"/>
        <v>6.3132359999999998</v>
      </c>
      <c r="P21" s="113">
        <f t="shared" si="14"/>
        <v>1.2200286153617489E-3</v>
      </c>
      <c r="Q21" s="114">
        <f t="shared" si="15"/>
        <v>25.795707047964626</v>
      </c>
      <c r="R21" s="109"/>
      <c r="S21" s="115">
        <f t="shared" si="16"/>
        <v>16.026631104</v>
      </c>
      <c r="T21" s="116">
        <f t="shared" si="7"/>
        <v>9.6967517018400002</v>
      </c>
      <c r="U21" s="116">
        <f t="shared" si="17"/>
        <v>7.2324242124626181E-2</v>
      </c>
      <c r="V21" s="116">
        <f t="shared" si="18"/>
        <v>25.795707047964626</v>
      </c>
      <c r="W21" s="116"/>
      <c r="X21" s="117">
        <f t="shared" si="19"/>
        <v>0.62129063080922831</v>
      </c>
      <c r="Y21" s="117">
        <f t="shared" si="20"/>
        <v>0.37590563746943734</v>
      </c>
      <c r="Z21" s="117">
        <f t="shared" si="21"/>
        <v>2.803731721334338E-3</v>
      </c>
      <c r="AC21" s="118"/>
      <c r="AD21" s="118"/>
      <c r="AE21" s="118"/>
      <c r="AF21" s="118"/>
      <c r="AH21" s="121" t="s">
        <v>52</v>
      </c>
      <c r="AI21" s="109"/>
      <c r="AJ21" s="109">
        <v>1</v>
      </c>
      <c r="AK21" s="109">
        <f>AJ21*$B$4</f>
        <v>0.37</v>
      </c>
      <c r="AL21" s="109">
        <f>(-2.85*AJ21+3.6)*((1-AJ21)*3.9*$B$8^(-1.2))</f>
        <v>0</v>
      </c>
      <c r="AM21" s="110"/>
      <c r="AN21" s="66">
        <v>0.11799999999999999</v>
      </c>
      <c r="AO21" s="111">
        <v>2.2803420720004172E-4</v>
      </c>
      <c r="AP21" s="87">
        <f t="shared" si="22"/>
        <v>75792</v>
      </c>
      <c r="AQ21" s="87">
        <f t="shared" si="23"/>
        <v>8943.4560000000001</v>
      </c>
      <c r="AR21" s="87">
        <f t="shared" si="24"/>
        <v>1.728316863210556E-2</v>
      </c>
      <c r="AS21" s="87">
        <f t="shared" si="25"/>
        <v>21.830863014336</v>
      </c>
      <c r="AT21" s="87">
        <f t="shared" si="26"/>
        <v>25.740724643306379</v>
      </c>
      <c r="AU21" s="112">
        <v>75.792000000000002</v>
      </c>
      <c r="AV21" s="112">
        <f t="shared" si="27"/>
        <v>8.9434559999999994</v>
      </c>
      <c r="AW21" s="113" t="e">
        <f t="shared" si="28"/>
        <v>#DIV/0!</v>
      </c>
      <c r="AX21" s="114">
        <f t="shared" si="29"/>
        <v>21.830863014336</v>
      </c>
      <c r="AY21" s="109"/>
      <c r="AZ21" s="115">
        <f t="shared" si="30"/>
        <v>14.245864320000001</v>
      </c>
      <c r="BA21" s="116">
        <f t="shared" si="31"/>
        <v>7.5849986943359999</v>
      </c>
      <c r="BB21" s="116" t="e">
        <f t="shared" si="32"/>
        <v>#DIV/0!</v>
      </c>
      <c r="BC21" s="116">
        <f t="shared" si="33"/>
        <v>21.830863014336</v>
      </c>
      <c r="BD21" s="116"/>
      <c r="BE21" s="117">
        <f t="shared" si="34"/>
        <v>0.65255616833127283</v>
      </c>
      <c r="BF21" s="117">
        <f t="shared" si="35"/>
        <v>0.34744383166872722</v>
      </c>
      <c r="BG21" s="117" t="e">
        <f t="shared" ref="BG21" si="37">BB21/BC21</f>
        <v>#DIV/0!</v>
      </c>
    </row>
    <row r="22" spans="1:59" x14ac:dyDescent="0.3">
      <c r="A22" s="122" t="s">
        <v>53</v>
      </c>
      <c r="B22" s="109"/>
      <c r="C22" s="120">
        <v>0.88</v>
      </c>
      <c r="D22" s="109">
        <f>C22*$B$4</f>
        <v>0.3256</v>
      </c>
      <c r="E22" s="109">
        <f>(-2.85*C22+3.6)*((1-C22)*3.9*$B$8^(-1.2))</f>
        <v>6.4435625252849373</v>
      </c>
      <c r="F22" s="123"/>
      <c r="G22" s="66">
        <v>0.13300000000000001</v>
      </c>
      <c r="H22" s="111">
        <v>7.7624711662869063E-4</v>
      </c>
      <c r="I22" s="87">
        <f t="shared" si="8"/>
        <v>22271</v>
      </c>
      <c r="J22" s="87">
        <f t="shared" si="9"/>
        <v>2962.0430000000001</v>
      </c>
      <c r="K22" s="87">
        <f t="shared" si="10"/>
        <v>1.7287799534437567E-2</v>
      </c>
      <c r="L22" s="87">
        <f t="shared" si="11"/>
        <v>11.32332633326676</v>
      </c>
      <c r="M22" s="87">
        <f t="shared" si="12"/>
        <v>7.3722452265497083</v>
      </c>
      <c r="N22" s="112">
        <v>22.271000000000001</v>
      </c>
      <c r="O22" s="112">
        <f t="shared" si="13"/>
        <v>2.9620430000000004</v>
      </c>
      <c r="P22" s="113">
        <f t="shared" si="14"/>
        <v>1.7287799534437239E-3</v>
      </c>
      <c r="Q22" s="114">
        <f t="shared" si="15"/>
        <v>11.32332633326676</v>
      </c>
      <c r="R22" s="109"/>
      <c r="S22" s="115">
        <f t="shared" si="16"/>
        <v>6.6713225920000001</v>
      </c>
      <c r="T22" s="116">
        <f t="shared" si="7"/>
        <v>4.5495203254200005</v>
      </c>
      <c r="U22" s="116">
        <f t="shared" si="17"/>
        <v>0.10248341584675913</v>
      </c>
      <c r="V22" s="116">
        <f t="shared" si="18"/>
        <v>11.32332633326676</v>
      </c>
      <c r="W22" s="116"/>
      <c r="X22" s="117">
        <f t="shared" si="19"/>
        <v>0.58916632760113474</v>
      </c>
      <c r="Y22" s="117">
        <f t="shared" si="20"/>
        <v>0.40178302660535192</v>
      </c>
      <c r="Z22" s="117">
        <f>U22/V22</f>
        <v>9.0506457935132963E-3</v>
      </c>
      <c r="AC22" s="118"/>
      <c r="AD22" s="118"/>
      <c r="AE22" s="118"/>
      <c r="AF22" s="118"/>
      <c r="AH22" s="122" t="s">
        <v>53</v>
      </c>
      <c r="AI22" s="109"/>
      <c r="AJ22" s="109">
        <v>1</v>
      </c>
      <c r="AK22" s="109">
        <f>AJ22*$B$4</f>
        <v>0.37</v>
      </c>
      <c r="AL22" s="109">
        <f>(-2.85*AJ22+3.6)*((1-AJ22)*3.9*$B$8^(-1.2))</f>
        <v>0</v>
      </c>
      <c r="AM22" s="123"/>
      <c r="AN22" s="66">
        <v>0.13300000000000001</v>
      </c>
      <c r="AO22" s="111">
        <v>7.7624711662869063E-4</v>
      </c>
      <c r="AP22" s="87">
        <f t="shared" si="22"/>
        <v>44241</v>
      </c>
      <c r="AQ22" s="87">
        <f t="shared" si="23"/>
        <v>5884.0529999999999</v>
      </c>
      <c r="AR22" s="87">
        <f t="shared" si="24"/>
        <v>3.4341948686769902E-2</v>
      </c>
      <c r="AS22" s="87">
        <f t="shared" si="25"/>
        <v>13.305839013618</v>
      </c>
      <c r="AT22" s="87">
        <f t="shared" si="26"/>
        <v>15.688886782569631</v>
      </c>
      <c r="AU22" s="112">
        <v>44.241</v>
      </c>
      <c r="AV22" s="112">
        <f t="shared" si="27"/>
        <v>5.8840530000000006</v>
      </c>
      <c r="AW22" s="113" t="e">
        <f t="shared" si="28"/>
        <v>#DIV/0!</v>
      </c>
      <c r="AX22" s="114">
        <f t="shared" si="29"/>
        <v>13.305839013618002</v>
      </c>
      <c r="AY22" s="109"/>
      <c r="AZ22" s="115">
        <f t="shared" si="30"/>
        <v>8.3155383599999997</v>
      </c>
      <c r="BA22" s="116">
        <f t="shared" si="31"/>
        <v>4.990300653618001</v>
      </c>
      <c r="BB22" s="116" t="e">
        <f t="shared" si="32"/>
        <v>#DIV/0!</v>
      </c>
      <c r="BC22" s="116">
        <f t="shared" si="33"/>
        <v>13.305839013618002</v>
      </c>
      <c r="BD22" s="116"/>
      <c r="BE22" s="117">
        <f t="shared" si="34"/>
        <v>0.62495407854321505</v>
      </c>
      <c r="BF22" s="117">
        <f t="shared" si="35"/>
        <v>0.37504592145678489</v>
      </c>
      <c r="BG22" s="117" t="e">
        <f>BB22/BC22</f>
        <v>#DIV/0!</v>
      </c>
    </row>
    <row r="23" spans="1:59" x14ac:dyDescent="0.3">
      <c r="A23" s="122" t="s">
        <v>54</v>
      </c>
      <c r="B23" s="109"/>
      <c r="C23" s="120">
        <v>0.88</v>
      </c>
      <c r="D23" s="109">
        <f t="shared" ref="D23:D27" si="38">C23*$B$4</f>
        <v>0.3256</v>
      </c>
      <c r="E23" s="109">
        <f t="shared" ref="E23:E27" si="39">(-2.85*C23+3.6)*((1-C23)*3.9*$B$8^(-1.2))</f>
        <v>6.4435625252849373</v>
      </c>
      <c r="F23" s="123"/>
      <c r="G23" s="66">
        <v>0.122</v>
      </c>
      <c r="H23" s="111">
        <v>6.9984199600227391E-5</v>
      </c>
      <c r="I23" s="87">
        <f t="shared" si="8"/>
        <v>96861</v>
      </c>
      <c r="J23" s="87">
        <f t="shared" si="9"/>
        <v>11817.041999999999</v>
      </c>
      <c r="K23" s="87">
        <f t="shared" si="10"/>
        <v>6.7787395574776255E-3</v>
      </c>
      <c r="L23" s="87">
        <f t="shared" si="11"/>
        <v>47.205358655086741</v>
      </c>
      <c r="M23" s="87">
        <f t="shared" si="12"/>
        <v>30.733855915652132</v>
      </c>
      <c r="N23" s="112">
        <v>96.861000000000004</v>
      </c>
      <c r="O23" s="112">
        <f t="shared" si="13"/>
        <v>11.817042000000001</v>
      </c>
      <c r="P23" s="113">
        <f t="shared" si="14"/>
        <v>6.7787395574789332E-4</v>
      </c>
      <c r="Q23" s="114">
        <f t="shared" si="15"/>
        <v>47.205358655086741</v>
      </c>
      <c r="R23" s="109"/>
      <c r="S23" s="115">
        <f t="shared" si="16"/>
        <v>29.014906272000001</v>
      </c>
      <c r="T23" s="116">
        <f t="shared" si="7"/>
        <v>18.150267489480001</v>
      </c>
      <c r="U23" s="116">
        <f t="shared" si="17"/>
        <v>4.0184893606738825E-2</v>
      </c>
      <c r="V23" s="116">
        <f t="shared" si="18"/>
        <v>47.205358655086741</v>
      </c>
      <c r="W23" s="116"/>
      <c r="X23" s="117">
        <f t="shared" si="19"/>
        <v>0.61465280846613002</v>
      </c>
      <c r="Y23" s="117">
        <f t="shared" si="20"/>
        <v>0.38449591331564154</v>
      </c>
      <c r="Z23" s="117">
        <f t="shared" si="21"/>
        <v>8.5127821822848478E-4</v>
      </c>
      <c r="AC23" s="118"/>
      <c r="AD23" s="118"/>
      <c r="AE23" s="118"/>
      <c r="AF23" s="118"/>
      <c r="AH23" s="122" t="s">
        <v>54</v>
      </c>
      <c r="AI23" s="109"/>
      <c r="AJ23" s="109">
        <v>1</v>
      </c>
      <c r="AK23" s="109">
        <f t="shared" ref="AK23:AK27" si="40">AJ23*$B$4</f>
        <v>0.37</v>
      </c>
      <c r="AL23" s="109">
        <f t="shared" ref="AL23:AL27" si="41">(-2.85*AJ23+3.6)*((1-AJ23)*3.9*$B$8^(-1.2))</f>
        <v>0</v>
      </c>
      <c r="AM23" s="123"/>
      <c r="AN23" s="66">
        <v>0.122</v>
      </c>
      <c r="AO23" s="111">
        <v>6.9984199600227391E-5</v>
      </c>
      <c r="AP23" s="87">
        <f t="shared" si="22"/>
        <v>125477</v>
      </c>
      <c r="AQ23" s="87">
        <f t="shared" si="23"/>
        <v>15308.194</v>
      </c>
      <c r="AR23" s="87">
        <f t="shared" si="24"/>
        <v>8.781407413237732E-3</v>
      </c>
      <c r="AS23" s="87">
        <f t="shared" si="25"/>
        <v>36.567628100564001</v>
      </c>
      <c r="AT23" s="87">
        <f t="shared" si="26"/>
        <v>43.116813347109911</v>
      </c>
      <c r="AU23" s="112">
        <v>125.477</v>
      </c>
      <c r="AV23" s="112">
        <f t="shared" si="27"/>
        <v>15.308194</v>
      </c>
      <c r="AW23" s="113" t="e">
        <f t="shared" si="28"/>
        <v>#DIV/0!</v>
      </c>
      <c r="AX23" s="114">
        <f t="shared" si="29"/>
        <v>36.567628100564001</v>
      </c>
      <c r="AY23" s="109"/>
      <c r="AZ23" s="115">
        <f t="shared" si="30"/>
        <v>23.58465692</v>
      </c>
      <c r="BA23" s="116">
        <f t="shared" si="31"/>
        <v>12.982971180564</v>
      </c>
      <c r="BB23" s="116" t="e">
        <f t="shared" si="32"/>
        <v>#DIV/0!</v>
      </c>
      <c r="BC23" s="116">
        <f t="shared" si="33"/>
        <v>36.567628100564001</v>
      </c>
      <c r="BD23" s="116"/>
      <c r="BE23" s="117">
        <f t="shared" si="34"/>
        <v>0.64495998633382079</v>
      </c>
      <c r="BF23" s="117">
        <f t="shared" si="35"/>
        <v>0.35504001366617916</v>
      </c>
      <c r="BG23" s="117" t="e">
        <f t="shared" ref="BG23:BG27" si="42">BB23/BC23</f>
        <v>#DIV/0!</v>
      </c>
    </row>
    <row r="24" spans="1:59" x14ac:dyDescent="0.3">
      <c r="A24" s="122" t="s">
        <v>55</v>
      </c>
      <c r="B24" s="109"/>
      <c r="C24" s="120">
        <v>0.88</v>
      </c>
      <c r="D24" s="109">
        <f t="shared" si="38"/>
        <v>0.3256</v>
      </c>
      <c r="E24" s="109">
        <f t="shared" si="39"/>
        <v>6.4435625252849373</v>
      </c>
      <c r="F24" s="122"/>
      <c r="G24" s="66">
        <v>0.19400000000000001</v>
      </c>
      <c r="H24" s="111">
        <v>1.0543868963912584E-3</v>
      </c>
      <c r="I24" s="87">
        <f t="shared" si="8"/>
        <v>11091</v>
      </c>
      <c r="J24" s="87">
        <f t="shared" si="9"/>
        <v>2151.654</v>
      </c>
      <c r="K24" s="87">
        <f t="shared" si="10"/>
        <v>1.1694205067875446E-2</v>
      </c>
      <c r="L24" s="87">
        <f t="shared" si="11"/>
        <v>6.6964668309752913</v>
      </c>
      <c r="M24" s="87">
        <f t="shared" si="12"/>
        <v>4.3598492330268703</v>
      </c>
      <c r="N24" s="112">
        <v>11.090999999999999</v>
      </c>
      <c r="O24" s="112">
        <f t="shared" si="13"/>
        <v>2.1516539999999997</v>
      </c>
      <c r="P24" s="113">
        <f t="shared" si="14"/>
        <v>1.1694205067875601E-3</v>
      </c>
      <c r="Q24" s="114">
        <f t="shared" si="15"/>
        <v>6.6964668309752913</v>
      </c>
      <c r="R24" s="109"/>
      <c r="S24" s="115">
        <f t="shared" si="16"/>
        <v>3.3223312319999998</v>
      </c>
      <c r="T24" s="116">
        <f t="shared" si="7"/>
        <v>3.3048114447599999</v>
      </c>
      <c r="U24" s="116">
        <f t="shared" si="17"/>
        <v>6.9324154215291575E-2</v>
      </c>
      <c r="V24" s="116">
        <f t="shared" si="18"/>
        <v>6.6964668309752913</v>
      </c>
      <c r="W24" s="116"/>
      <c r="X24" s="117">
        <f t="shared" si="19"/>
        <v>0.49613196269892174</v>
      </c>
      <c r="Y24" s="117">
        <f t="shared" si="20"/>
        <v>0.49351568941896456</v>
      </c>
      <c r="Z24" s="117">
        <f t="shared" si="21"/>
        <v>1.0352347882113682E-2</v>
      </c>
      <c r="AC24" s="118"/>
      <c r="AD24" s="118"/>
      <c r="AE24" s="118"/>
      <c r="AF24" s="118"/>
      <c r="AH24" s="122" t="s">
        <v>55</v>
      </c>
      <c r="AI24" s="109"/>
      <c r="AJ24" s="109">
        <v>1</v>
      </c>
      <c r="AK24" s="109">
        <f t="shared" si="40"/>
        <v>0.37</v>
      </c>
      <c r="AL24" s="109">
        <f t="shared" si="41"/>
        <v>0</v>
      </c>
      <c r="AM24" s="122"/>
      <c r="AN24" s="66">
        <v>0.19400000000000001</v>
      </c>
      <c r="AO24" s="111">
        <v>1.0543868963912584E-3</v>
      </c>
      <c r="AP24" s="87">
        <f t="shared" si="22"/>
        <v>39621</v>
      </c>
      <c r="AQ24" s="87">
        <f t="shared" si="23"/>
        <v>7686.4740000000002</v>
      </c>
      <c r="AR24" s="87">
        <f t="shared" si="24"/>
        <v>4.1775863221918043E-2</v>
      </c>
      <c r="AS24" s="87">
        <f t="shared" si="25"/>
        <v>13.966107878243999</v>
      </c>
      <c r="AT24" s="87">
        <f t="shared" si="26"/>
        <v>16.467408411500447</v>
      </c>
      <c r="AU24" s="112">
        <v>39.621000000000002</v>
      </c>
      <c r="AV24" s="112">
        <f t="shared" si="27"/>
        <v>7.6864740000000005</v>
      </c>
      <c r="AW24" s="113" t="e">
        <f t="shared" si="28"/>
        <v>#DIV/0!</v>
      </c>
      <c r="AX24" s="114">
        <f t="shared" si="29"/>
        <v>13.966107878243999</v>
      </c>
      <c r="AY24" s="109"/>
      <c r="AZ24" s="115">
        <f t="shared" si="30"/>
        <v>7.4471631599999997</v>
      </c>
      <c r="BA24" s="116">
        <f t="shared" si="31"/>
        <v>6.5189447182440006</v>
      </c>
      <c r="BB24" s="116" t="e">
        <f t="shared" si="32"/>
        <v>#DIV/0!</v>
      </c>
      <c r="BC24" s="116">
        <f t="shared" si="33"/>
        <v>13.966107878243999</v>
      </c>
      <c r="BD24" s="116"/>
      <c r="BE24" s="117">
        <f t="shared" si="34"/>
        <v>0.53323110668513285</v>
      </c>
      <c r="BF24" s="117">
        <f t="shared" si="35"/>
        <v>0.46676889331486726</v>
      </c>
      <c r="BG24" s="117" t="e">
        <f t="shared" si="42"/>
        <v>#DIV/0!</v>
      </c>
    </row>
    <row r="25" spans="1:59" x14ac:dyDescent="0.3">
      <c r="A25" s="124" t="s">
        <v>56</v>
      </c>
      <c r="B25" s="109"/>
      <c r="C25" s="120">
        <v>0.88</v>
      </c>
      <c r="D25" s="109">
        <f t="shared" si="38"/>
        <v>0.3256</v>
      </c>
      <c r="E25" s="109">
        <f t="shared" si="39"/>
        <v>6.4435625252849373</v>
      </c>
      <c r="F25" s="122"/>
      <c r="G25" s="66">
        <v>0.36799999999999999</v>
      </c>
      <c r="H25" s="111">
        <v>4.4668359215096279E-3</v>
      </c>
      <c r="I25" s="87">
        <f t="shared" si="8"/>
        <v>3789</v>
      </c>
      <c r="J25" s="87">
        <f t="shared" si="9"/>
        <v>1394.3520000000001</v>
      </c>
      <c r="K25" s="87">
        <f t="shared" si="10"/>
        <v>1.6924841306599981E-2</v>
      </c>
      <c r="L25" s="87">
        <f t="shared" si="11"/>
        <v>3.376975310214434</v>
      </c>
      <c r="M25" s="87">
        <f t="shared" si="12"/>
        <v>2.1986375185322564</v>
      </c>
      <c r="N25" s="112">
        <v>3.7890000000000001</v>
      </c>
      <c r="O25" s="112">
        <f t="shared" si="13"/>
        <v>1.394352</v>
      </c>
      <c r="P25" s="113">
        <f t="shared" si="14"/>
        <v>1.6924841306599949E-3</v>
      </c>
      <c r="Q25" s="114">
        <f t="shared" si="15"/>
        <v>3.376975310214434</v>
      </c>
      <c r="R25" s="109"/>
      <c r="S25" s="115">
        <f t="shared" si="16"/>
        <v>1.135002528</v>
      </c>
      <c r="T25" s="116">
        <f t="shared" si="7"/>
        <v>2.1416410108800004</v>
      </c>
      <c r="U25" s="116">
        <f t="shared" si="17"/>
        <v>0.10033177133443384</v>
      </c>
      <c r="V25" s="116">
        <f t="shared" si="18"/>
        <v>3.376975310214434</v>
      </c>
      <c r="W25" s="116"/>
      <c r="X25" s="117">
        <f t="shared" si="19"/>
        <v>0.33610033350463814</v>
      </c>
      <c r="Y25" s="117">
        <f t="shared" si="20"/>
        <v>0.63418912314878861</v>
      </c>
      <c r="Z25" s="117">
        <f t="shared" si="21"/>
        <v>2.9710543346573325E-2</v>
      </c>
      <c r="AC25" s="118"/>
      <c r="AD25" s="118"/>
      <c r="AE25" s="118"/>
      <c r="AF25" s="118"/>
      <c r="AH25" s="124" t="s">
        <v>56</v>
      </c>
      <c r="AI25" s="109"/>
      <c r="AJ25" s="109">
        <v>1</v>
      </c>
      <c r="AK25" s="109">
        <f t="shared" si="40"/>
        <v>0.37</v>
      </c>
      <c r="AL25" s="109">
        <f t="shared" si="41"/>
        <v>0</v>
      </c>
      <c r="AM25" s="122"/>
      <c r="AN25" s="66">
        <v>0.36799999999999999</v>
      </c>
      <c r="AO25" s="111">
        <v>4.4668359215096279E-3</v>
      </c>
      <c r="AP25" s="87">
        <f t="shared" si="22"/>
        <v>21524</v>
      </c>
      <c r="AQ25" s="87">
        <f t="shared" si="23"/>
        <v>7920.8319999999994</v>
      </c>
      <c r="AR25" s="87">
        <f t="shared" si="24"/>
        <v>9.6144176374573231E-2</v>
      </c>
      <c r="AS25" s="87">
        <f t="shared" si="25"/>
        <v>10.763356184192</v>
      </c>
      <c r="AT25" s="87">
        <f t="shared" si="26"/>
        <v>12.691050628331835</v>
      </c>
      <c r="AU25" s="112">
        <v>21.524000000000001</v>
      </c>
      <c r="AV25" s="112">
        <f t="shared" si="27"/>
        <v>7.9208319999999999</v>
      </c>
      <c r="AW25" s="113" t="e">
        <f t="shared" si="28"/>
        <v>#DIV/0!</v>
      </c>
      <c r="AX25" s="114">
        <f t="shared" si="29"/>
        <v>10.763356184192</v>
      </c>
      <c r="AY25" s="109"/>
      <c r="AZ25" s="115">
        <f t="shared" si="30"/>
        <v>4.0456510400000001</v>
      </c>
      <c r="BA25" s="116">
        <f t="shared" si="31"/>
        <v>6.7177051441920002</v>
      </c>
      <c r="BB25" s="116" t="e">
        <f t="shared" si="32"/>
        <v>#DIV/0!</v>
      </c>
      <c r="BC25" s="116">
        <f t="shared" si="33"/>
        <v>10.763356184192</v>
      </c>
      <c r="BD25" s="116"/>
      <c r="BE25" s="117">
        <f t="shared" si="34"/>
        <v>0.37587263403414956</v>
      </c>
      <c r="BF25" s="117">
        <f t="shared" si="35"/>
        <v>0.6241273659658505</v>
      </c>
      <c r="BG25" s="117" t="e">
        <f t="shared" si="42"/>
        <v>#DIV/0!</v>
      </c>
    </row>
    <row r="26" spans="1:59" x14ac:dyDescent="0.3">
      <c r="A26" s="124" t="s">
        <v>58</v>
      </c>
      <c r="B26" s="109"/>
      <c r="C26" s="120">
        <v>0.88</v>
      </c>
      <c r="D26" s="109">
        <f t="shared" si="38"/>
        <v>0.3256</v>
      </c>
      <c r="E26" s="109">
        <f t="shared" si="39"/>
        <v>6.4435625252849373</v>
      </c>
      <c r="F26" s="109"/>
      <c r="G26" s="66">
        <v>0.22</v>
      </c>
      <c r="H26" s="111">
        <v>1.5205475297324944E-2</v>
      </c>
      <c r="I26" s="87">
        <f t="shared" si="8"/>
        <v>2824</v>
      </c>
      <c r="J26" s="87">
        <f t="shared" si="9"/>
        <v>621.28</v>
      </c>
      <c r="K26" s="87">
        <f t="shared" si="10"/>
        <v>4.2940262239645643E-2</v>
      </c>
      <c r="L26" s="87">
        <f t="shared" si="11"/>
        <v>2.0547368546258253</v>
      </c>
      <c r="M26" s="87">
        <f t="shared" si="12"/>
        <v>1.3377715630987053</v>
      </c>
      <c r="N26" s="112">
        <v>2.8239999999999998</v>
      </c>
      <c r="O26" s="112">
        <f t="shared" si="13"/>
        <v>0.62127999999999994</v>
      </c>
      <c r="P26" s="113">
        <f t="shared" si="14"/>
        <v>4.2940262239645642E-3</v>
      </c>
      <c r="Q26" s="114">
        <f t="shared" si="15"/>
        <v>2.0547368546258253</v>
      </c>
      <c r="R26" s="109"/>
      <c r="S26" s="115">
        <f t="shared" si="16"/>
        <v>0.84593484799999996</v>
      </c>
      <c r="T26" s="116">
        <f t="shared" si="7"/>
        <v>0.95424880319999994</v>
      </c>
      <c r="U26" s="116">
        <f t="shared" si="17"/>
        <v>0.25455320342582544</v>
      </c>
      <c r="V26" s="116">
        <f t="shared" si="18"/>
        <v>2.0547368546258253</v>
      </c>
      <c r="W26" s="116"/>
      <c r="X26" s="117">
        <f t="shared" si="19"/>
        <v>0.41169984667163018</v>
      </c>
      <c r="Y26" s="117">
        <f t="shared" si="20"/>
        <v>0.46441411757992335</v>
      </c>
      <c r="Z26" s="117">
        <f t="shared" si="21"/>
        <v>0.12388603574844646</v>
      </c>
      <c r="AC26" s="118"/>
      <c r="AD26" s="118"/>
      <c r="AE26" s="118"/>
      <c r="AF26" s="118"/>
      <c r="AH26" s="124" t="s">
        <v>58</v>
      </c>
      <c r="AI26" s="109"/>
      <c r="AJ26" s="109">
        <v>1</v>
      </c>
      <c r="AK26" s="109">
        <f t="shared" si="40"/>
        <v>0.37</v>
      </c>
      <c r="AL26" s="109">
        <f t="shared" si="41"/>
        <v>0</v>
      </c>
      <c r="AM26" s="109"/>
      <c r="AN26" s="66">
        <v>0.22</v>
      </c>
      <c r="AO26" s="111">
        <v>1.5205475297324944E-2</v>
      </c>
      <c r="AP26" s="87">
        <f t="shared" si="22"/>
        <v>7219</v>
      </c>
      <c r="AQ26" s="87">
        <f t="shared" si="23"/>
        <v>1588.18</v>
      </c>
      <c r="AR26" s="87">
        <f t="shared" si="24"/>
        <v>0.10976832617138876</v>
      </c>
      <c r="AS26" s="87">
        <f t="shared" si="25"/>
        <v>2.7038282270799998</v>
      </c>
      <c r="AT26" s="87">
        <f t="shared" si="26"/>
        <v>3.1880781731057199</v>
      </c>
      <c r="AU26" s="112">
        <v>7.2190000000000003</v>
      </c>
      <c r="AV26" s="112">
        <f t="shared" si="27"/>
        <v>1.5881800000000001</v>
      </c>
      <c r="AW26" s="113" t="e">
        <f t="shared" si="28"/>
        <v>#DIV/0!</v>
      </c>
      <c r="AX26" s="114">
        <f t="shared" si="29"/>
        <v>2.7038282270799998</v>
      </c>
      <c r="AY26" s="109"/>
      <c r="AZ26" s="115">
        <f t="shared" si="30"/>
        <v>1.3568832399999999</v>
      </c>
      <c r="BA26" s="116">
        <f t="shared" si="31"/>
        <v>1.3469449870800001</v>
      </c>
      <c r="BB26" s="116" t="e">
        <f t="shared" si="32"/>
        <v>#DIV/0!</v>
      </c>
      <c r="BC26" s="116">
        <f t="shared" si="33"/>
        <v>2.7038282270799998</v>
      </c>
      <c r="BD26" s="116"/>
      <c r="BE26" s="117">
        <f t="shared" si="34"/>
        <v>0.5018378114446147</v>
      </c>
      <c r="BF26" s="117">
        <f t="shared" si="35"/>
        <v>0.49816218855538535</v>
      </c>
      <c r="BG26" s="117" t="e">
        <f t="shared" si="42"/>
        <v>#DIV/0!</v>
      </c>
    </row>
    <row r="27" spans="1:59" x14ac:dyDescent="0.3">
      <c r="A27" s="124" t="s">
        <v>57</v>
      </c>
      <c r="B27" s="109"/>
      <c r="C27" s="120">
        <v>0.88</v>
      </c>
      <c r="D27" s="109">
        <f t="shared" si="38"/>
        <v>0.3256</v>
      </c>
      <c r="E27" s="109">
        <f t="shared" si="39"/>
        <v>6.4435625252849373</v>
      </c>
      <c r="F27" s="109"/>
      <c r="G27" s="66">
        <v>0.24199999999999999</v>
      </c>
      <c r="H27" s="111">
        <v>4.4668359215096279E-3</v>
      </c>
      <c r="I27" s="87">
        <f t="shared" si="8"/>
        <v>440</v>
      </c>
      <c r="J27" s="87">
        <f t="shared" si="9"/>
        <v>106.47999999999999</v>
      </c>
      <c r="K27" s="87">
        <f t="shared" si="10"/>
        <v>1.9654078054642363E-3</v>
      </c>
      <c r="L27" s="87">
        <f t="shared" si="11"/>
        <v>0.30700086103561652</v>
      </c>
      <c r="M27" s="87">
        <f t="shared" si="12"/>
        <v>0.19987815997735361</v>
      </c>
      <c r="N27" s="112">
        <v>0.44</v>
      </c>
      <c r="O27" s="112">
        <f t="shared" si="13"/>
        <v>0.10647999999999999</v>
      </c>
      <c r="P27" s="113">
        <f t="shared" si="14"/>
        <v>1.9654078054642381E-4</v>
      </c>
      <c r="Q27" s="114">
        <f t="shared" si="15"/>
        <v>0.30700086103561652</v>
      </c>
      <c r="R27" s="109"/>
      <c r="S27" s="115">
        <f t="shared" si="16"/>
        <v>0.13180288000000001</v>
      </c>
      <c r="T27" s="116">
        <f t="shared" si="7"/>
        <v>0.16354689119999999</v>
      </c>
      <c r="U27" s="116">
        <f t="shared" si="17"/>
        <v>1.1651089835616522E-2</v>
      </c>
      <c r="V27" s="116">
        <f t="shared" ref="V27" si="43">SUM(S27:U27)</f>
        <v>0.30700086103561652</v>
      </c>
      <c r="W27" s="116"/>
      <c r="X27" s="117">
        <f t="shared" si="19"/>
        <v>0.42932413790432</v>
      </c>
      <c r="Y27" s="117">
        <f t="shared" si="20"/>
        <v>0.53272453584755974</v>
      </c>
      <c r="Z27" s="117">
        <f t="shared" si="21"/>
        <v>3.7951326248120289E-2</v>
      </c>
      <c r="AC27" s="118"/>
      <c r="AD27" s="118"/>
      <c r="AE27" s="118"/>
      <c r="AF27" s="118"/>
      <c r="AH27" s="124" t="s">
        <v>57</v>
      </c>
      <c r="AI27" s="109"/>
      <c r="AJ27" s="109">
        <v>1</v>
      </c>
      <c r="AK27" s="109">
        <f t="shared" si="40"/>
        <v>0.37</v>
      </c>
      <c r="AL27" s="109">
        <f t="shared" si="41"/>
        <v>0</v>
      </c>
      <c r="AM27" s="109"/>
      <c r="AN27" s="66">
        <v>0.24199999999999999</v>
      </c>
      <c r="AO27" s="111">
        <v>4.4668359215096279E-3</v>
      </c>
      <c r="AP27" s="87">
        <f t="shared" si="22"/>
        <v>1140</v>
      </c>
      <c r="AQ27" s="87">
        <f t="shared" si="23"/>
        <v>275.88</v>
      </c>
      <c r="AR27" s="87">
        <f t="shared" si="24"/>
        <v>5.0921929505209759E-3</v>
      </c>
      <c r="AS27" s="87">
        <f t="shared" si="25"/>
        <v>0.44824988327999993</v>
      </c>
      <c r="AT27" s="87">
        <f t="shared" si="26"/>
        <v>0.52853049415992803</v>
      </c>
      <c r="AU27" s="112">
        <v>1.1399999999999999</v>
      </c>
      <c r="AV27" s="112">
        <f t="shared" si="27"/>
        <v>0.27587999999999996</v>
      </c>
      <c r="AW27" s="113" t="e">
        <f t="shared" si="28"/>
        <v>#DIV/0!</v>
      </c>
      <c r="AX27" s="114">
        <f t="shared" si="29"/>
        <v>0.44824988327999993</v>
      </c>
      <c r="AY27" s="109"/>
      <c r="AZ27" s="115">
        <f t="shared" si="30"/>
        <v>0.21427439999999998</v>
      </c>
      <c r="BA27" s="116">
        <f t="shared" si="31"/>
        <v>0.23397548327999998</v>
      </c>
      <c r="BB27" s="116" t="e">
        <f t="shared" si="32"/>
        <v>#DIV/0!</v>
      </c>
      <c r="BC27" s="116">
        <f t="shared" si="33"/>
        <v>0.44824988327999993</v>
      </c>
      <c r="BD27" s="116"/>
      <c r="BE27" s="117">
        <f t="shared" si="34"/>
        <v>0.47802444126048588</v>
      </c>
      <c r="BF27" s="117">
        <f t="shared" si="35"/>
        <v>0.52197555873951418</v>
      </c>
      <c r="BG27" s="117" t="e">
        <f t="shared" si="42"/>
        <v>#DIV/0!</v>
      </c>
    </row>
    <row r="30" spans="1:59" ht="18" x14ac:dyDescent="0.35">
      <c r="A30" s="70" t="s">
        <v>92</v>
      </c>
    </row>
    <row r="31" spans="1:59" ht="21" x14ac:dyDescent="0.4">
      <c r="A31" s="71" t="s">
        <v>144</v>
      </c>
    </row>
    <row r="32" spans="1:59" x14ac:dyDescent="0.3">
      <c r="A32" s="30" t="s">
        <v>103</v>
      </c>
      <c r="B32" s="77" t="s">
        <v>104</v>
      </c>
    </row>
    <row r="33" spans="1:26" x14ac:dyDescent="0.3">
      <c r="A33" t="s">
        <v>105</v>
      </c>
      <c r="B33">
        <v>0.37</v>
      </c>
    </row>
    <row r="34" spans="1:26" x14ac:dyDescent="0.3">
      <c r="A34" t="s">
        <v>106</v>
      </c>
      <c r="B34">
        <f>2.65*(1-B33)</f>
        <v>1.6695</v>
      </c>
    </row>
    <row r="35" spans="1:26" x14ac:dyDescent="0.3">
      <c r="A35" t="s">
        <v>107</v>
      </c>
      <c r="B35">
        <v>0.88</v>
      </c>
    </row>
    <row r="36" spans="1:26" x14ac:dyDescent="0.3">
      <c r="A36" t="s">
        <v>108</v>
      </c>
      <c r="B36">
        <f>B33*B35</f>
        <v>0.3256</v>
      </c>
    </row>
    <row r="37" spans="1:26" x14ac:dyDescent="0.3">
      <c r="A37" t="s">
        <v>109</v>
      </c>
      <c r="B37">
        <v>0.121</v>
      </c>
    </row>
    <row r="38" spans="1:26" x14ac:dyDescent="0.3">
      <c r="A38" s="87"/>
      <c r="B38" s="87"/>
    </row>
    <row r="39" spans="1:26" x14ac:dyDescent="0.3">
      <c r="A39" s="87"/>
      <c r="B39" s="87"/>
    </row>
    <row r="40" spans="1:26" ht="16.2" x14ac:dyDescent="0.3">
      <c r="A40" t="s">
        <v>110</v>
      </c>
      <c r="B40">
        <f>(-2.85*B35+3.6)*((1-B35)*3.9*B37^(-1.2))</f>
        <v>6.4435625252849373</v>
      </c>
    </row>
    <row r="41" spans="1:26" x14ac:dyDescent="0.3">
      <c r="A41" s="87"/>
      <c r="B41" s="87"/>
    </row>
    <row r="42" spans="1:26" x14ac:dyDescent="0.3">
      <c r="A42" t="s">
        <v>111</v>
      </c>
      <c r="B42">
        <f>B34*B43</f>
        <v>1.3356000000000001</v>
      </c>
    </row>
    <row r="43" spans="1:26" x14ac:dyDescent="0.3">
      <c r="A43" t="s">
        <v>145</v>
      </c>
      <c r="B43">
        <v>0.8</v>
      </c>
    </row>
    <row r="45" spans="1:26" x14ac:dyDescent="0.3">
      <c r="C45" s="96"/>
      <c r="D45" s="96"/>
      <c r="E45" s="97"/>
      <c r="F45" s="189"/>
      <c r="G45" s="189"/>
      <c r="N45" s="190" t="s">
        <v>114</v>
      </c>
      <c r="O45" s="190"/>
      <c r="P45" s="190"/>
      <c r="Q45" s="100"/>
      <c r="S45" s="191" t="s">
        <v>115</v>
      </c>
      <c r="T45" s="191"/>
      <c r="U45" s="191"/>
      <c r="V45" s="191"/>
      <c r="X45" t="s">
        <v>116</v>
      </c>
    </row>
    <row r="46" spans="1:26" ht="28.8" x14ac:dyDescent="0.3">
      <c r="C46" s="101" t="s">
        <v>117</v>
      </c>
      <c r="D46" s="102" t="s">
        <v>118</v>
      </c>
      <c r="E46" s="102" t="s">
        <v>119</v>
      </c>
      <c r="F46" s="101"/>
      <c r="G46" s="103" t="s">
        <v>120</v>
      </c>
      <c r="H46" s="102" t="s">
        <v>121</v>
      </c>
      <c r="I46" s="104" t="s">
        <v>122</v>
      </c>
      <c r="J46" s="104" t="s">
        <v>123</v>
      </c>
      <c r="K46" s="105" t="s">
        <v>124</v>
      </c>
      <c r="L46" s="104" t="s">
        <v>125</v>
      </c>
      <c r="M46" s="106" t="s">
        <v>126</v>
      </c>
      <c r="N46" s="107" t="s">
        <v>127</v>
      </c>
      <c r="O46" s="98" t="s">
        <v>128</v>
      </c>
      <c r="P46" s="98" t="s">
        <v>129</v>
      </c>
      <c r="Q46" s="102" t="s">
        <v>130</v>
      </c>
      <c r="S46" s="102" t="s">
        <v>131</v>
      </c>
      <c r="T46" s="98" t="s">
        <v>132</v>
      </c>
      <c r="U46" s="98" t="s">
        <v>133</v>
      </c>
      <c r="V46" s="102" t="s">
        <v>134</v>
      </c>
      <c r="X46" s="102" t="s">
        <v>131</v>
      </c>
      <c r="Y46" s="98" t="s">
        <v>132</v>
      </c>
      <c r="Z46" s="98" t="s">
        <v>133</v>
      </c>
    </row>
    <row r="47" spans="1:26" x14ac:dyDescent="0.3">
      <c r="A47" s="19" t="s">
        <v>135</v>
      </c>
      <c r="B47" s="98"/>
      <c r="C47" s="101" t="s">
        <v>136</v>
      </c>
      <c r="D47" t="s">
        <v>136</v>
      </c>
      <c r="E47" t="s">
        <v>137</v>
      </c>
      <c r="F47" s="101"/>
      <c r="G47" s="103" t="s">
        <v>88</v>
      </c>
      <c r="H47" s="102" t="s">
        <v>12</v>
      </c>
      <c r="I47" s="87"/>
      <c r="J47" s="87"/>
      <c r="K47" s="87"/>
      <c r="L47" s="87"/>
      <c r="M47" s="87" t="s">
        <v>138</v>
      </c>
      <c r="N47" s="102" t="s">
        <v>139</v>
      </c>
      <c r="O47" s="99" t="s">
        <v>140</v>
      </c>
      <c r="P47" s="99" t="s">
        <v>141</v>
      </c>
      <c r="Q47" s="99" t="s">
        <v>142</v>
      </c>
      <c r="S47" s="99" t="s">
        <v>143</v>
      </c>
      <c r="T47" s="99" t="s">
        <v>143</v>
      </c>
      <c r="U47" s="99" t="s">
        <v>142</v>
      </c>
      <c r="V47" s="102" t="s">
        <v>142</v>
      </c>
      <c r="X47" s="102"/>
      <c r="Y47" s="98"/>
      <c r="Z47" s="98"/>
    </row>
    <row r="48" spans="1:26" x14ac:dyDescent="0.3">
      <c r="A48" s="108" t="s">
        <v>49</v>
      </c>
      <c r="B48" s="109"/>
      <c r="C48" s="109">
        <v>0.88</v>
      </c>
      <c r="D48" s="109">
        <f>C48*$B$4</f>
        <v>0.3256</v>
      </c>
      <c r="E48" s="109">
        <f>(-2.85*C48+3.6)*((1-C48)*3.9*$B$8^(-1.2))</f>
        <v>6.4435625252849373</v>
      </c>
      <c r="F48" s="110"/>
      <c r="G48" s="66">
        <v>8.0000000000000002E-3</v>
      </c>
      <c r="H48" s="111">
        <v>9.506047936562795E-5</v>
      </c>
      <c r="I48" s="87">
        <f>N48*1000</f>
        <v>385</v>
      </c>
      <c r="J48" s="87">
        <f>G48*I48</f>
        <v>3.08</v>
      </c>
      <c r="K48" s="87">
        <f>(I48*H48)/1000</f>
        <v>3.6598284555766758E-5</v>
      </c>
      <c r="L48" s="87">
        <f>(I48*$B$43*$B$36+$B$34*$B$43*J48+$B$43*$B$40*K48*1000)/1000</f>
        <v>0.10458710666788261</v>
      </c>
      <c r="M48" s="87">
        <f>L48/$B$42</f>
        <v>7.830720774774079E-2</v>
      </c>
      <c r="N48" s="112">
        <v>0.38500000000000001</v>
      </c>
      <c r="O48" s="112">
        <f>N48*G48</f>
        <v>3.0800000000000003E-3</v>
      </c>
      <c r="P48" s="113">
        <f>(L48-N48*D48*$B$43-O48*$B$42)/(E48*$B$43*1000)*100</f>
        <v>3.6598284555766491E-6</v>
      </c>
      <c r="Q48" s="114">
        <f>N48*D48*$B$43+O48*$B$42+P48/100*E48*$B$43*1000</f>
        <v>0.10458710666788261</v>
      </c>
      <c r="R48" s="109"/>
      <c r="S48" s="115">
        <f>N48*D48*$B$43</f>
        <v>0.10028480000000001</v>
      </c>
      <c r="T48" s="116">
        <f>O48*$B$42</f>
        <v>4.113648000000001E-3</v>
      </c>
      <c r="U48" s="116">
        <f>P48/100*E48*$B$43*1000</f>
        <v>1.8865866788260119E-4</v>
      </c>
      <c r="V48" s="116">
        <f>SUM(S48:U48)</f>
        <v>0.10458710666788261</v>
      </c>
      <c r="W48" s="116"/>
      <c r="X48" s="117">
        <f>S48/V48</f>
        <v>0.95886389054107191</v>
      </c>
      <c r="Y48" s="117">
        <f>T48/V48</f>
        <v>3.9332266959663881E-2</v>
      </c>
      <c r="Z48" s="117">
        <f>U48/V48</f>
        <v>1.8038424992641651E-3</v>
      </c>
    </row>
    <row r="49" spans="1:26" x14ac:dyDescent="0.3">
      <c r="A49" s="108" t="s">
        <v>50</v>
      </c>
      <c r="B49" s="119"/>
      <c r="C49" s="120">
        <v>0.88</v>
      </c>
      <c r="D49" s="109">
        <f>C49*$B$4</f>
        <v>0.3256</v>
      </c>
      <c r="E49" s="109">
        <f>(-2.85*C49+3.6)*((1-C49)*3.9*$B$8^(-1.2))</f>
        <v>6.4435625252849373</v>
      </c>
      <c r="F49" s="110"/>
      <c r="G49" s="66">
        <v>0.16600000000000001</v>
      </c>
      <c r="H49" s="111">
        <v>2.5292979964461428E-3</v>
      </c>
      <c r="I49" s="87">
        <f t="shared" ref="I49:I57" si="44">N49*1000</f>
        <v>3120</v>
      </c>
      <c r="J49" s="87">
        <f t="shared" ref="J49:J57" si="45">G49*I49</f>
        <v>517.92000000000007</v>
      </c>
      <c r="K49" s="87">
        <f t="shared" ref="K49:K57" si="46">(I49*H49)/1000</f>
        <v>7.8914097489119657E-3</v>
      </c>
      <c r="L49" s="87">
        <f t="shared" ref="L49:L57" si="47">(I49*$B$43*$B$36+$B$34*$B$43*J49+$B$43*$B$40*K49*1000)/1000</f>
        <v>1.5451105857038061</v>
      </c>
      <c r="M49" s="87">
        <f t="shared" ref="M49:M57" si="48">L49/$B$42</f>
        <v>1.1568662666245926</v>
      </c>
      <c r="N49" s="112">
        <v>3.12</v>
      </c>
      <c r="O49" s="112">
        <f t="shared" ref="O49:O57" si="49">N49*G49</f>
        <v>0.51792000000000005</v>
      </c>
      <c r="P49" s="113">
        <f t="shared" ref="P49:P57" si="50">(L49-N49*D49*$B$43-O49*$B$42)/(E49*$B$43*1000)*100</f>
        <v>7.8914097489119633E-4</v>
      </c>
      <c r="Q49" s="114">
        <f t="shared" ref="Q49:Q57" si="51">N49*D49*$B$43+O49*$B$42+P49/100*E49*$B$43*1000</f>
        <v>1.5451105857038061</v>
      </c>
      <c r="R49" s="109"/>
      <c r="S49" s="115">
        <f t="shared" ref="S49:S57" si="52">N49*D49*$B$43</f>
        <v>0.81269760000000013</v>
      </c>
      <c r="T49" s="116">
        <f t="shared" ref="T49:T57" si="53">O49*$B$42</f>
        <v>0.6917339520000001</v>
      </c>
      <c r="U49" s="116">
        <f t="shared" ref="U49:U57" si="54">P49/100*E49*$B$43*1000</f>
        <v>4.0679033703805871E-2</v>
      </c>
      <c r="V49" s="116">
        <f t="shared" ref="V49:V56" si="55">SUM(S49:U49)</f>
        <v>1.5451105857038061</v>
      </c>
      <c r="W49" s="116"/>
      <c r="X49" s="117">
        <f t="shared" ref="X49:X57" si="56">S49/V49</f>
        <v>0.52598021625087243</v>
      </c>
      <c r="Y49" s="117">
        <f t="shared" ref="Y49:Y57" si="57">T49/V49</f>
        <v>0.44769219653291781</v>
      </c>
      <c r="Z49" s="117">
        <f t="shared" ref="Z49" si="58">U49/V49</f>
        <v>2.6327587216209741E-2</v>
      </c>
    </row>
    <row r="50" spans="1:26" x14ac:dyDescent="0.3">
      <c r="A50" s="108" t="s">
        <v>51</v>
      </c>
      <c r="B50" s="119"/>
      <c r="C50" s="120">
        <v>0.88</v>
      </c>
      <c r="D50" s="109">
        <f>C50*$B$4</f>
        <v>0.3256</v>
      </c>
      <c r="E50" s="109">
        <f>(-2.85*C50+3.6)*((1-C50)*3.9*$B$8^(-1.2))</f>
        <v>6.4435625252849373</v>
      </c>
      <c r="F50" s="110"/>
      <c r="G50" s="66">
        <v>0.22</v>
      </c>
      <c r="H50" s="111">
        <v>1.1694993910198723E-2</v>
      </c>
      <c r="I50" s="87">
        <f t="shared" si="44"/>
        <v>91</v>
      </c>
      <c r="J50" s="87">
        <f t="shared" si="45"/>
        <v>20.02</v>
      </c>
      <c r="K50" s="87">
        <f t="shared" si="46"/>
        <v>1.0642444458280836E-3</v>
      </c>
      <c r="L50" s="87">
        <f t="shared" si="47"/>
        <v>5.5928412503104381E-2</v>
      </c>
      <c r="M50" s="87">
        <f t="shared" si="48"/>
        <v>4.1875121670488451E-2</v>
      </c>
      <c r="N50" s="112">
        <v>9.0999999999999998E-2</v>
      </c>
      <c r="O50" s="112">
        <f t="shared" si="49"/>
        <v>2.002E-2</v>
      </c>
      <c r="P50" s="113">
        <f t="shared" si="50"/>
        <v>1.064244445828084E-4</v>
      </c>
      <c r="Q50" s="114">
        <f t="shared" si="51"/>
        <v>5.5928412503104388E-2</v>
      </c>
      <c r="R50" s="109"/>
      <c r="S50" s="115">
        <f t="shared" si="52"/>
        <v>2.3703680000000001E-2</v>
      </c>
      <c r="T50" s="116">
        <f t="shared" si="53"/>
        <v>2.6738712000000001E-2</v>
      </c>
      <c r="U50" s="116">
        <f t="shared" si="54"/>
        <v>5.4860205031043831E-3</v>
      </c>
      <c r="V50" s="116">
        <f t="shared" si="55"/>
        <v>5.5928412503104388E-2</v>
      </c>
      <c r="W50" s="116"/>
      <c r="X50" s="117">
        <f t="shared" si="56"/>
        <v>0.42382179180723739</v>
      </c>
      <c r="Y50" s="117">
        <f t="shared" si="57"/>
        <v>0.47808816312309649</v>
      </c>
      <c r="Z50" s="117">
        <f>U50/V50</f>
        <v>9.8090045069666038E-2</v>
      </c>
    </row>
    <row r="51" spans="1:26" x14ac:dyDescent="0.3">
      <c r="A51" s="121" t="s">
        <v>52</v>
      </c>
      <c r="B51" s="109"/>
      <c r="C51" s="120">
        <v>0.88</v>
      </c>
      <c r="D51" s="109">
        <f>C51*$B$4</f>
        <v>0.3256</v>
      </c>
      <c r="E51" s="109">
        <f>(-2.85*C51+3.6)*((1-C51)*3.9*$B$8^(-1.2))</f>
        <v>6.4435625252849373</v>
      </c>
      <c r="F51" s="110"/>
      <c r="G51" s="66">
        <v>0.11799999999999999</v>
      </c>
      <c r="H51" s="111">
        <v>2.2803420720004172E-4</v>
      </c>
      <c r="I51" s="87">
        <f t="shared" si="44"/>
        <v>698</v>
      </c>
      <c r="J51" s="87">
        <f t="shared" si="45"/>
        <v>82.36399999999999</v>
      </c>
      <c r="K51" s="87">
        <f t="shared" si="46"/>
        <v>1.5916787662562912E-4</v>
      </c>
      <c r="L51" s="87">
        <f t="shared" si="47"/>
        <v>0.29264088493204327</v>
      </c>
      <c r="M51" s="87">
        <f t="shared" si="48"/>
        <v>0.21910817979338368</v>
      </c>
      <c r="N51" s="112">
        <v>0.69799999999999995</v>
      </c>
      <c r="O51" s="112">
        <f t="shared" si="49"/>
        <v>8.2363999999999993E-2</v>
      </c>
      <c r="P51" s="113">
        <f t="shared" si="50"/>
        <v>1.5916787662562674E-5</v>
      </c>
      <c r="Q51" s="114">
        <f t="shared" si="51"/>
        <v>0.29264088493204327</v>
      </c>
      <c r="R51" s="109"/>
      <c r="S51" s="115">
        <f t="shared" si="52"/>
        <v>0.18181504000000001</v>
      </c>
      <c r="T51" s="116">
        <f t="shared" si="53"/>
        <v>0.1100053584</v>
      </c>
      <c r="U51" s="116">
        <f t="shared" si="54"/>
        <v>8.2048653204325184E-4</v>
      </c>
      <c r="V51" s="116">
        <f t="shared" si="55"/>
        <v>0.29264088493204327</v>
      </c>
      <c r="W51" s="116"/>
      <c r="X51" s="117">
        <f t="shared" si="56"/>
        <v>0.62129063080922853</v>
      </c>
      <c r="Y51" s="117">
        <f t="shared" si="57"/>
        <v>0.37590563746943739</v>
      </c>
      <c r="Z51" s="117">
        <f t="shared" ref="Z51" si="59">U51/V51</f>
        <v>2.8037317213340995E-3</v>
      </c>
    </row>
    <row r="52" spans="1:26" x14ac:dyDescent="0.3">
      <c r="A52" s="122" t="s">
        <v>53</v>
      </c>
      <c r="B52" s="109"/>
      <c r="C52" s="120">
        <v>0.88</v>
      </c>
      <c r="D52" s="109">
        <f>C52*$B$4</f>
        <v>0.3256</v>
      </c>
      <c r="E52" s="109">
        <f>(-2.85*C52+3.6)*((1-C52)*3.9*$B$8^(-1.2))</f>
        <v>6.4435625252849373</v>
      </c>
      <c r="F52" s="123"/>
      <c r="G52" s="66">
        <v>0.13300000000000001</v>
      </c>
      <c r="H52" s="111">
        <v>7.7624711662869063E-4</v>
      </c>
      <c r="I52" s="87">
        <f t="shared" si="44"/>
        <v>1281</v>
      </c>
      <c r="J52" s="87">
        <f t="shared" si="45"/>
        <v>170.37300000000002</v>
      </c>
      <c r="K52" s="87">
        <f t="shared" si="46"/>
        <v>9.943725564013526E-4</v>
      </c>
      <c r="L52" s="87">
        <f t="shared" si="47"/>
        <v>0.56635090019247969</v>
      </c>
      <c r="M52" s="87">
        <f t="shared" si="48"/>
        <v>0.42404230322887065</v>
      </c>
      <c r="N52" s="112">
        <v>1.2809999999999999</v>
      </c>
      <c r="O52" s="112">
        <f t="shared" si="49"/>
        <v>0.170373</v>
      </c>
      <c r="P52" s="113">
        <f t="shared" si="50"/>
        <v>9.9437255640136206E-5</v>
      </c>
      <c r="Q52" s="114">
        <f t="shared" si="51"/>
        <v>0.5663509001924798</v>
      </c>
      <c r="R52" s="109"/>
      <c r="S52" s="115">
        <f t="shared" si="52"/>
        <v>0.33367488000000001</v>
      </c>
      <c r="T52" s="116">
        <f t="shared" si="53"/>
        <v>0.2275501788</v>
      </c>
      <c r="U52" s="116">
        <f t="shared" si="54"/>
        <v>5.1258413924796797E-3</v>
      </c>
      <c r="V52" s="116">
        <f t="shared" si="55"/>
        <v>0.5663509001924798</v>
      </c>
      <c r="W52" s="116"/>
      <c r="X52" s="117">
        <f t="shared" si="56"/>
        <v>0.58916632760113452</v>
      </c>
      <c r="Y52" s="117">
        <f t="shared" si="57"/>
        <v>0.4017830266053517</v>
      </c>
      <c r="Z52" s="117">
        <f>U52/V52</f>
        <v>9.0506457935135495E-3</v>
      </c>
    </row>
    <row r="53" spans="1:26" x14ac:dyDescent="0.3">
      <c r="A53" s="122" t="s">
        <v>54</v>
      </c>
      <c r="B53" s="109"/>
      <c r="C53" s="120">
        <v>0.88</v>
      </c>
      <c r="D53" s="109">
        <f t="shared" ref="D53:D57" si="60">C53*$B$4</f>
        <v>0.3256</v>
      </c>
      <c r="E53" s="109">
        <f t="shared" ref="E53:E57" si="61">(-2.85*C53+3.6)*((1-C53)*3.9*$B$8^(-1.2))</f>
        <v>6.4435625252849373</v>
      </c>
      <c r="F53" s="123"/>
      <c r="G53" s="66">
        <v>0.122</v>
      </c>
      <c r="H53" s="111">
        <v>6.9984199600227391E-5</v>
      </c>
      <c r="I53" s="87">
        <f t="shared" si="44"/>
        <v>785</v>
      </c>
      <c r="J53" s="87">
        <f t="shared" si="45"/>
        <v>95.77</v>
      </c>
      <c r="K53" s="87">
        <f t="shared" si="46"/>
        <v>5.49375966861785E-5</v>
      </c>
      <c r="L53" s="87">
        <f t="shared" si="47"/>
        <v>0.33267040707138895</v>
      </c>
      <c r="M53" s="87">
        <f t="shared" si="48"/>
        <v>0.24907937037390604</v>
      </c>
      <c r="N53" s="112">
        <v>0.78500000000000003</v>
      </c>
      <c r="O53" s="112">
        <f t="shared" si="49"/>
        <v>9.5770000000000008E-2</v>
      </c>
      <c r="P53" s="113">
        <f t="shared" si="50"/>
        <v>5.4937596686156469E-6</v>
      </c>
      <c r="Q53" s="114">
        <f t="shared" si="51"/>
        <v>0.33267040707138895</v>
      </c>
      <c r="R53" s="109"/>
      <c r="S53" s="115">
        <f t="shared" si="52"/>
        <v>0.20447680000000001</v>
      </c>
      <c r="T53" s="116">
        <f t="shared" si="53"/>
        <v>0.12791041200000003</v>
      </c>
      <c r="U53" s="116">
        <f t="shared" si="54"/>
        <v>2.8319507138890865E-4</v>
      </c>
      <c r="V53" s="116">
        <f t="shared" si="55"/>
        <v>0.33267040707138895</v>
      </c>
      <c r="W53" s="116"/>
      <c r="X53" s="117">
        <f t="shared" si="56"/>
        <v>0.61465280846613024</v>
      </c>
      <c r="Y53" s="117">
        <f t="shared" si="57"/>
        <v>0.38449591331564176</v>
      </c>
      <c r="Z53" s="117">
        <f t="shared" ref="Z53:Z57" si="62">U53/V53</f>
        <v>8.5127821822797954E-4</v>
      </c>
    </row>
    <row r="54" spans="1:26" x14ac:dyDescent="0.3">
      <c r="A54" s="122" t="s">
        <v>55</v>
      </c>
      <c r="B54" s="109"/>
      <c r="C54" s="120">
        <v>0.88</v>
      </c>
      <c r="D54" s="109">
        <f t="shared" si="60"/>
        <v>0.3256</v>
      </c>
      <c r="E54" s="109">
        <f t="shared" si="61"/>
        <v>6.4435625252849373</v>
      </c>
      <c r="F54" s="122"/>
      <c r="G54" s="66">
        <v>0.19400000000000001</v>
      </c>
      <c r="H54" s="111">
        <v>1.0543868963912584E-3</v>
      </c>
      <c r="I54" s="87">
        <f t="shared" si="44"/>
        <v>2491</v>
      </c>
      <c r="J54" s="87">
        <f t="shared" si="45"/>
        <v>483.25400000000002</v>
      </c>
      <c r="K54" s="87">
        <f t="shared" si="46"/>
        <v>2.6264777589106243E-3</v>
      </c>
      <c r="L54" s="87">
        <f t="shared" si="47"/>
        <v>1.3078288213286486</v>
      </c>
      <c r="M54" s="87">
        <f t="shared" si="48"/>
        <v>0.97920696415741881</v>
      </c>
      <c r="N54" s="112">
        <v>2.4910000000000001</v>
      </c>
      <c r="O54" s="112">
        <f t="shared" si="49"/>
        <v>0.48325400000000002</v>
      </c>
      <c r="P54" s="113">
        <f t="shared" si="50"/>
        <v>2.6264777589105797E-4</v>
      </c>
      <c r="Q54" s="114">
        <f t="shared" si="51"/>
        <v>1.3078288213286489</v>
      </c>
      <c r="R54" s="109"/>
      <c r="S54" s="115">
        <f t="shared" si="52"/>
        <v>0.64885568000000005</v>
      </c>
      <c r="T54" s="116">
        <f t="shared" si="53"/>
        <v>0.64543404240000013</v>
      </c>
      <c r="U54" s="116">
        <f t="shared" si="54"/>
        <v>1.3539098928648463E-2</v>
      </c>
      <c r="V54" s="116">
        <f t="shared" si="55"/>
        <v>1.3078288213286489</v>
      </c>
      <c r="W54" s="116"/>
      <c r="X54" s="117">
        <f t="shared" si="56"/>
        <v>0.49613196269892179</v>
      </c>
      <c r="Y54" s="117">
        <f t="shared" si="57"/>
        <v>0.49351568941896468</v>
      </c>
      <c r="Z54" s="117">
        <f t="shared" si="62"/>
        <v>1.035234788211337E-2</v>
      </c>
    </row>
    <row r="55" spans="1:26" x14ac:dyDescent="0.3">
      <c r="A55" s="124" t="s">
        <v>56</v>
      </c>
      <c r="B55" s="109"/>
      <c r="C55" s="120">
        <v>0.88</v>
      </c>
      <c r="D55" s="109">
        <f t="shared" si="60"/>
        <v>0.3256</v>
      </c>
      <c r="E55" s="109">
        <f t="shared" si="61"/>
        <v>6.4435625252849373</v>
      </c>
      <c r="F55" s="122"/>
      <c r="G55" s="66">
        <v>0.36799999999999999</v>
      </c>
      <c r="H55" s="111">
        <v>4.4668359215096279E-3</v>
      </c>
      <c r="I55" s="87">
        <f t="shared" si="44"/>
        <v>2741</v>
      </c>
      <c r="J55" s="87">
        <f t="shared" si="45"/>
        <v>1008.688</v>
      </c>
      <c r="K55" s="87">
        <f t="shared" si="46"/>
        <v>1.2243597260857889E-2</v>
      </c>
      <c r="L55" s="87">
        <f t="shared" si="47"/>
        <v>2.1242932803877967</v>
      </c>
      <c r="M55" s="87">
        <f t="shared" si="48"/>
        <v>1.5905160829498326</v>
      </c>
      <c r="N55" s="112">
        <v>2.7410000000000001</v>
      </c>
      <c r="O55" s="112">
        <f t="shared" si="49"/>
        <v>1.008688</v>
      </c>
      <c r="P55" s="113">
        <f t="shared" si="50"/>
        <v>1.2243597260857945E-3</v>
      </c>
      <c r="Q55" s="114">
        <f t="shared" si="51"/>
        <v>2.1242932803877967</v>
      </c>
      <c r="R55" s="109"/>
      <c r="S55" s="115">
        <f t="shared" si="52"/>
        <v>0.71397568000000011</v>
      </c>
      <c r="T55" s="116">
        <f t="shared" si="53"/>
        <v>1.3472036928000002</v>
      </c>
      <c r="U55" s="116">
        <f t="shared" si="54"/>
        <v>6.3113907587796461E-2</v>
      </c>
      <c r="V55" s="116">
        <f t="shared" si="55"/>
        <v>2.1242932803877967</v>
      </c>
      <c r="W55" s="116"/>
      <c r="X55" s="117">
        <f t="shared" si="56"/>
        <v>0.33610033350463808</v>
      </c>
      <c r="Y55" s="117">
        <f t="shared" si="57"/>
        <v>0.63418912314878839</v>
      </c>
      <c r="Z55" s="117">
        <f t="shared" si="62"/>
        <v>2.9710543346573505E-2</v>
      </c>
    </row>
    <row r="56" spans="1:26" x14ac:dyDescent="0.3">
      <c r="A56" s="124" t="s">
        <v>58</v>
      </c>
      <c r="B56" s="109"/>
      <c r="C56" s="120">
        <v>0.88</v>
      </c>
      <c r="D56" s="109">
        <f t="shared" si="60"/>
        <v>0.3256</v>
      </c>
      <c r="E56" s="109">
        <f t="shared" si="61"/>
        <v>6.4435625252849373</v>
      </c>
      <c r="F56" s="109"/>
      <c r="G56" s="66">
        <v>0.22</v>
      </c>
      <c r="H56" s="111">
        <v>1.5205475297324944E-2</v>
      </c>
      <c r="I56" s="87">
        <f t="shared" si="44"/>
        <v>191</v>
      </c>
      <c r="J56" s="87">
        <f t="shared" si="45"/>
        <v>42.02</v>
      </c>
      <c r="K56" s="87">
        <f t="shared" si="46"/>
        <v>2.9042457817890642E-3</v>
      </c>
      <c r="L56" s="87">
        <f t="shared" si="47"/>
        <v>0.12084454342700229</v>
      </c>
      <c r="M56" s="87">
        <f t="shared" si="48"/>
        <v>9.0479592263403921E-2</v>
      </c>
      <c r="N56" s="112">
        <v>0.191</v>
      </c>
      <c r="O56" s="112">
        <f t="shared" si="49"/>
        <v>4.2020000000000002E-2</v>
      </c>
      <c r="P56" s="113">
        <f t="shared" si="50"/>
        <v>2.9042457817890635E-4</v>
      </c>
      <c r="Q56" s="114">
        <f t="shared" si="51"/>
        <v>0.12084454342700231</v>
      </c>
      <c r="R56" s="109"/>
      <c r="S56" s="115">
        <f t="shared" si="52"/>
        <v>4.975168E-2</v>
      </c>
      <c r="T56" s="116">
        <f t="shared" si="53"/>
        <v>5.612191200000001E-2</v>
      </c>
      <c r="U56" s="116">
        <f t="shared" si="54"/>
        <v>1.4970951427002291E-2</v>
      </c>
      <c r="V56" s="116">
        <f t="shared" si="55"/>
        <v>0.12084454342700231</v>
      </c>
      <c r="W56" s="116"/>
      <c r="X56" s="117">
        <f t="shared" si="56"/>
        <v>0.41169984667163012</v>
      </c>
      <c r="Y56" s="117">
        <f t="shared" si="57"/>
        <v>0.4644141175799234</v>
      </c>
      <c r="Z56" s="117">
        <f t="shared" si="62"/>
        <v>0.12388603574844639</v>
      </c>
    </row>
    <row r="57" spans="1:26" x14ac:dyDescent="0.3">
      <c r="A57" s="124" t="s">
        <v>57</v>
      </c>
      <c r="B57" s="109"/>
      <c r="C57" s="120">
        <v>0.88</v>
      </c>
      <c r="D57" s="109">
        <f t="shared" si="60"/>
        <v>0.3256</v>
      </c>
      <c r="E57" s="109">
        <f t="shared" si="61"/>
        <v>6.4435625252849373</v>
      </c>
      <c r="F57" s="109"/>
      <c r="G57" s="66">
        <v>0.24199999999999999</v>
      </c>
      <c r="H57" s="111">
        <v>4.4668359215096279E-3</v>
      </c>
      <c r="I57" s="87">
        <f t="shared" si="44"/>
        <v>50</v>
      </c>
      <c r="J57" s="87">
        <f t="shared" si="45"/>
        <v>12.1</v>
      </c>
      <c r="K57" s="87">
        <f t="shared" si="46"/>
        <v>2.2334179607548139E-4</v>
      </c>
      <c r="L57" s="87">
        <f t="shared" si="47"/>
        <v>3.0336053462017443E-2</v>
      </c>
      <c r="M57" s="87">
        <f t="shared" si="48"/>
        <v>2.2713427270153817E-2</v>
      </c>
      <c r="N57" s="112">
        <v>0.05</v>
      </c>
      <c r="O57" s="112">
        <f t="shared" si="49"/>
        <v>1.21E-2</v>
      </c>
      <c r="P57" s="113">
        <f t="shared" si="50"/>
        <v>2.2334179607548157E-5</v>
      </c>
      <c r="Q57" s="114">
        <f t="shared" si="51"/>
        <v>3.0336053462017443E-2</v>
      </c>
      <c r="R57" s="109"/>
      <c r="S57" s="115">
        <f t="shared" si="52"/>
        <v>1.3024000000000001E-2</v>
      </c>
      <c r="T57" s="116">
        <f t="shared" si="53"/>
        <v>1.616076E-2</v>
      </c>
      <c r="U57" s="116">
        <f t="shared" si="54"/>
        <v>1.151293462017443E-3</v>
      </c>
      <c r="V57" s="116">
        <f t="shared" ref="V57" si="63">SUM(S57:U57)</f>
        <v>3.0336053462017443E-2</v>
      </c>
      <c r="W57" s="116"/>
      <c r="X57" s="117">
        <f t="shared" si="56"/>
        <v>0.42932413790432</v>
      </c>
      <c r="Y57" s="117">
        <f t="shared" si="57"/>
        <v>0.53272453584755974</v>
      </c>
      <c r="Z57" s="117">
        <f t="shared" si="62"/>
        <v>3.7951326248120289E-2</v>
      </c>
    </row>
    <row r="60" spans="1:26" ht="18" x14ac:dyDescent="0.35">
      <c r="A60" s="70" t="s">
        <v>92</v>
      </c>
    </row>
    <row r="61" spans="1:26" ht="21" x14ac:dyDescent="0.4">
      <c r="A61" s="71" t="s">
        <v>146</v>
      </c>
    </row>
    <row r="62" spans="1:26" x14ac:dyDescent="0.3">
      <c r="A62" s="30" t="s">
        <v>103</v>
      </c>
      <c r="B62" s="77" t="s">
        <v>104</v>
      </c>
    </row>
    <row r="63" spans="1:26" x14ac:dyDescent="0.3">
      <c r="A63" t="s">
        <v>105</v>
      </c>
      <c r="B63">
        <v>0.37</v>
      </c>
    </row>
    <row r="64" spans="1:26" x14ac:dyDescent="0.3">
      <c r="A64" t="s">
        <v>106</v>
      </c>
      <c r="B64">
        <f>2.65*(1-B63)</f>
        <v>1.6695</v>
      </c>
    </row>
    <row r="65" spans="1:26" x14ac:dyDescent="0.3">
      <c r="A65" t="s">
        <v>107</v>
      </c>
      <c r="B65">
        <v>0.88</v>
      </c>
    </row>
    <row r="66" spans="1:26" x14ac:dyDescent="0.3">
      <c r="A66" t="s">
        <v>108</v>
      </c>
      <c r="B66">
        <f>B63*B65</f>
        <v>0.3256</v>
      </c>
    </row>
    <row r="67" spans="1:26" x14ac:dyDescent="0.3">
      <c r="A67" t="s">
        <v>109</v>
      </c>
      <c r="B67">
        <v>0.121</v>
      </c>
    </row>
    <row r="68" spans="1:26" x14ac:dyDescent="0.3">
      <c r="A68" s="87"/>
      <c r="B68" s="87"/>
    </row>
    <row r="69" spans="1:26" x14ac:dyDescent="0.3">
      <c r="A69" s="87"/>
      <c r="B69" s="87"/>
    </row>
    <row r="70" spans="1:26" ht="16.2" x14ac:dyDescent="0.3">
      <c r="A70" t="s">
        <v>110</v>
      </c>
      <c r="B70">
        <f>(-2.85*B65+3.6)*((1-B65)*3.9*B67^(-1.2))</f>
        <v>6.4435625252849373</v>
      </c>
    </row>
    <row r="71" spans="1:26" x14ac:dyDescent="0.3">
      <c r="A71" s="87"/>
      <c r="B71" s="87"/>
    </row>
    <row r="72" spans="1:26" x14ac:dyDescent="0.3">
      <c r="A72" t="s">
        <v>111</v>
      </c>
      <c r="B72">
        <f>B64*B73</f>
        <v>1.0684800000000001</v>
      </c>
    </row>
    <row r="73" spans="1:26" x14ac:dyDescent="0.3">
      <c r="A73" t="s">
        <v>149</v>
      </c>
      <c r="B73">
        <v>0.64</v>
      </c>
    </row>
    <row r="74" spans="1:26" ht="28.8" x14ac:dyDescent="0.3">
      <c r="C74" s="101" t="s">
        <v>117</v>
      </c>
      <c r="D74" s="102" t="s">
        <v>118</v>
      </c>
      <c r="E74" s="102" t="s">
        <v>119</v>
      </c>
      <c r="F74" s="101"/>
      <c r="G74" s="103" t="s">
        <v>120</v>
      </c>
      <c r="H74" s="102" t="s">
        <v>121</v>
      </c>
      <c r="I74" s="104" t="s">
        <v>122</v>
      </c>
      <c r="J74" s="104" t="s">
        <v>123</v>
      </c>
      <c r="K74" s="105" t="s">
        <v>124</v>
      </c>
      <c r="L74" s="104" t="s">
        <v>125</v>
      </c>
      <c r="M74" s="106" t="s">
        <v>126</v>
      </c>
      <c r="N74" s="107" t="s">
        <v>127</v>
      </c>
      <c r="O74" s="98" t="s">
        <v>128</v>
      </c>
      <c r="P74" s="98" t="s">
        <v>129</v>
      </c>
      <c r="Q74" s="102" t="s">
        <v>130</v>
      </c>
      <c r="S74" s="102" t="s">
        <v>131</v>
      </c>
      <c r="T74" s="98" t="s">
        <v>132</v>
      </c>
      <c r="U74" s="98" t="s">
        <v>133</v>
      </c>
      <c r="V74" s="102" t="s">
        <v>134</v>
      </c>
      <c r="X74" s="102" t="s">
        <v>131</v>
      </c>
      <c r="Y74" s="98" t="s">
        <v>132</v>
      </c>
      <c r="Z74" s="98" t="s">
        <v>133</v>
      </c>
    </row>
    <row r="75" spans="1:26" x14ac:dyDescent="0.3">
      <c r="A75" s="19" t="s">
        <v>135</v>
      </c>
      <c r="B75" s="98"/>
      <c r="C75" s="101" t="s">
        <v>136</v>
      </c>
      <c r="D75" t="s">
        <v>136</v>
      </c>
      <c r="E75" t="s">
        <v>137</v>
      </c>
      <c r="F75" s="101"/>
      <c r="G75" s="103" t="s">
        <v>88</v>
      </c>
      <c r="H75" s="102" t="s">
        <v>12</v>
      </c>
      <c r="I75" s="87"/>
      <c r="J75" s="87"/>
      <c r="K75" s="87"/>
      <c r="L75" s="87"/>
      <c r="M75" s="87" t="s">
        <v>138</v>
      </c>
      <c r="N75" s="102" t="s">
        <v>139</v>
      </c>
      <c r="O75" s="99" t="s">
        <v>140</v>
      </c>
      <c r="P75" s="99" t="s">
        <v>141</v>
      </c>
      <c r="Q75" s="99" t="s">
        <v>142</v>
      </c>
      <c r="S75" s="99" t="s">
        <v>143</v>
      </c>
      <c r="T75" s="99" t="s">
        <v>143</v>
      </c>
      <c r="U75" s="99" t="s">
        <v>142</v>
      </c>
      <c r="V75" s="102" t="s">
        <v>142</v>
      </c>
      <c r="X75" s="102"/>
      <c r="Y75" s="98"/>
      <c r="Z75" s="98"/>
    </row>
    <row r="76" spans="1:26" x14ac:dyDescent="0.3">
      <c r="A76" s="108" t="s">
        <v>49</v>
      </c>
      <c r="B76" s="109"/>
      <c r="C76" s="109">
        <v>0.88</v>
      </c>
      <c r="D76" s="109">
        <f>C76*$B$4</f>
        <v>0.3256</v>
      </c>
      <c r="E76" s="109">
        <f>(-2.85*C76+3.6)*((1-C76)*3.9*$B$8^(-1.2))</f>
        <v>6.4435625252849373</v>
      </c>
      <c r="F76" s="110"/>
      <c r="G76" s="66">
        <v>8.0000000000000002E-3</v>
      </c>
      <c r="H76" s="111">
        <v>9.506047936562795E-5</v>
      </c>
      <c r="I76" s="87">
        <f>N76*1000</f>
        <v>1948</v>
      </c>
      <c r="J76" s="87">
        <f>G76*I76</f>
        <v>15.584</v>
      </c>
      <c r="K76" s="87">
        <f>(I76*H76)/1000</f>
        <v>1.8517781380424325E-4</v>
      </c>
      <c r="L76" s="87">
        <f>(I76*$B$73*$B$66+$B$64*$B$73*J76+$B$73*$B$70*K76*1000)/1000</f>
        <v>0.42334687540578769</v>
      </c>
      <c r="M76" s="87">
        <f>L76/$B$72</f>
        <v>0.39621413166908848</v>
      </c>
      <c r="N76" s="112">
        <v>1.948</v>
      </c>
      <c r="O76" s="112">
        <f>N76*G76</f>
        <v>1.5584000000000001E-2</v>
      </c>
      <c r="P76" s="113">
        <f>(L76-N76*D76*$B$73-O76*$B$72)/(E76*$B$73*1000)*100</f>
        <v>1.8517781380425216E-5</v>
      </c>
      <c r="Q76" s="114">
        <f>N76*D76*$B$73+O76*$B$72+P76/100*E76*$B$73*1000</f>
        <v>0.42334687540578769</v>
      </c>
      <c r="R76" s="109"/>
      <c r="S76" s="115">
        <f>N76*D76*$B$73</f>
        <v>0.405932032</v>
      </c>
      <c r="T76" s="116">
        <f>O76*$B$72</f>
        <v>1.6651192320000001E-2</v>
      </c>
      <c r="U76" s="116">
        <f>P76/100*E76*$B$73*1000</f>
        <v>7.6365108578769353E-4</v>
      </c>
      <c r="V76" s="116">
        <f>SUM(S76:U76)</f>
        <v>0.42334687540578769</v>
      </c>
      <c r="W76" s="116"/>
      <c r="X76" s="117">
        <f>S76/V76</f>
        <v>0.95886389054107191</v>
      </c>
      <c r="Y76" s="117">
        <f>T76/V76</f>
        <v>3.9332266959663874E-2</v>
      </c>
      <c r="Z76" s="117">
        <f>U76/V76</f>
        <v>1.8038424992642651E-3</v>
      </c>
    </row>
    <row r="77" spans="1:26" x14ac:dyDescent="0.3">
      <c r="A77" s="108" t="s">
        <v>50</v>
      </c>
      <c r="B77" s="119"/>
      <c r="C77" s="120">
        <v>0.88</v>
      </c>
      <c r="D77" s="109">
        <f>C77*$B$4</f>
        <v>0.3256</v>
      </c>
      <c r="E77" s="109">
        <f>(-2.85*C77+3.6)*((1-C77)*3.9*$B$8^(-1.2))</f>
        <v>6.4435625252849373</v>
      </c>
      <c r="F77" s="110"/>
      <c r="G77" s="66">
        <v>0.16600000000000001</v>
      </c>
      <c r="H77" s="111">
        <v>2.5292979964461428E-3</v>
      </c>
      <c r="I77" s="87">
        <f t="shared" ref="I77:I85" si="64">N77*1000</f>
        <v>3990</v>
      </c>
      <c r="J77" s="87">
        <f t="shared" ref="J77:J85" si="65">G77*I77</f>
        <v>662.34</v>
      </c>
      <c r="K77" s="87">
        <f t="shared" ref="K77:K85" si="66">(I77*H77)/1000</f>
        <v>1.009189900582011E-2</v>
      </c>
      <c r="L77" s="87">
        <f t="shared" ref="L77:L85" si="67">(I77*$B$73*$B$66+$B$64*$B$73*J77+$B$73*$B$70*K77*1000)/1000</f>
        <v>1.5807669838354323</v>
      </c>
      <c r="M77" s="87">
        <f t="shared" ref="M77:M85" si="68">L77/$B$72</f>
        <v>1.4794539755872194</v>
      </c>
      <c r="N77" s="112">
        <v>3.99</v>
      </c>
      <c r="O77" s="112">
        <f t="shared" ref="O77:O85" si="69">N77*G77</f>
        <v>0.66234000000000004</v>
      </c>
      <c r="P77" s="113">
        <f t="shared" ref="P77:P85" si="70">(L77-N77*D77*$B$73-O77*$B$72)/(E77*$B$73*1000)*100</f>
        <v>1.0091899005820089E-3</v>
      </c>
      <c r="Q77" s="114">
        <f t="shared" ref="Q77:Q85" si="71">N77*D77*$B$73+O77*$B$72+P77/100*E77*$B$73*1000</f>
        <v>1.5807669838354323</v>
      </c>
      <c r="R77" s="109"/>
      <c r="S77" s="115">
        <f t="shared" ref="S77:S85" si="72">N77*D77*$B$73</f>
        <v>0.83145216000000011</v>
      </c>
      <c r="T77" s="116">
        <f t="shared" ref="T77:T85" si="73">O77*$B$72</f>
        <v>0.70769704320000015</v>
      </c>
      <c r="U77" s="116">
        <f t="shared" ref="U77:U85" si="74">P77/100*E77*$B$73*1000</f>
        <v>4.1617780635432089E-2</v>
      </c>
      <c r="V77" s="116">
        <f t="shared" ref="V77:V84" si="75">SUM(S77:U77)</f>
        <v>1.5807669838354323</v>
      </c>
      <c r="W77" s="116"/>
      <c r="X77" s="117">
        <f t="shared" ref="X77:X85" si="76">S77/V77</f>
        <v>0.52598021625087243</v>
      </c>
      <c r="Y77" s="117">
        <f t="shared" ref="Y77:Y85" si="77">T77/V77</f>
        <v>0.44769219653291786</v>
      </c>
      <c r="Z77" s="117">
        <f t="shared" ref="Z77" si="78">U77/V77</f>
        <v>2.6327587216209695E-2</v>
      </c>
    </row>
    <row r="78" spans="1:26" x14ac:dyDescent="0.3">
      <c r="A78" s="108" t="s">
        <v>51</v>
      </c>
      <c r="B78" s="119"/>
      <c r="C78" s="120">
        <v>0.88</v>
      </c>
      <c r="D78" s="109">
        <f>C78*$B$4</f>
        <v>0.3256</v>
      </c>
      <c r="E78" s="109">
        <f>(-2.85*C78+3.6)*((1-C78)*3.9*$B$8^(-1.2))</f>
        <v>6.4435625252849373</v>
      </c>
      <c r="F78" s="110"/>
      <c r="G78" s="66">
        <v>0.22</v>
      </c>
      <c r="H78" s="111">
        <v>1.1694993910198723E-2</v>
      </c>
      <c r="I78" s="87">
        <f t="shared" si="64"/>
        <v>20</v>
      </c>
      <c r="J78" s="87">
        <f t="shared" si="65"/>
        <v>4.4000000000000004</v>
      </c>
      <c r="K78" s="87">
        <f t="shared" si="66"/>
        <v>2.3389987820397444E-4</v>
      </c>
      <c r="L78" s="87">
        <f t="shared" si="67"/>
        <v>9.8335670335128588E-3</v>
      </c>
      <c r="M78" s="87">
        <f t="shared" si="68"/>
        <v>9.2033234440633965E-3</v>
      </c>
      <c r="N78" s="112">
        <v>0.02</v>
      </c>
      <c r="O78" s="112">
        <f t="shared" si="69"/>
        <v>4.4000000000000003E-3</v>
      </c>
      <c r="P78" s="113">
        <f t="shared" si="70"/>
        <v>2.3389987820397436E-5</v>
      </c>
      <c r="Q78" s="114">
        <f t="shared" si="71"/>
        <v>9.8335670335128588E-3</v>
      </c>
      <c r="R78" s="109"/>
      <c r="S78" s="115">
        <f t="shared" si="72"/>
        <v>4.16768E-3</v>
      </c>
      <c r="T78" s="116">
        <f t="shared" si="73"/>
        <v>4.7013120000000009E-3</v>
      </c>
      <c r="U78" s="116">
        <f t="shared" si="74"/>
        <v>9.645750335128577E-4</v>
      </c>
      <c r="V78" s="116">
        <f t="shared" si="75"/>
        <v>9.8335670335128588E-3</v>
      </c>
      <c r="W78" s="116"/>
      <c r="X78" s="117">
        <f t="shared" si="76"/>
        <v>0.42382179180723739</v>
      </c>
      <c r="Y78" s="117">
        <f t="shared" si="77"/>
        <v>0.4780881631230966</v>
      </c>
      <c r="Z78" s="117">
        <f>U78/V78</f>
        <v>9.8090045069665954E-2</v>
      </c>
    </row>
    <row r="79" spans="1:26" x14ac:dyDescent="0.3">
      <c r="A79" s="121" t="s">
        <v>52</v>
      </c>
      <c r="B79" s="109"/>
      <c r="C79" s="120">
        <v>0.88</v>
      </c>
      <c r="D79" s="109">
        <f>C79*$B$4</f>
        <v>0.3256</v>
      </c>
      <c r="E79" s="109">
        <f>(-2.85*C79+3.6)*((1-C79)*3.9*$B$8^(-1.2))</f>
        <v>6.4435625252849373</v>
      </c>
      <c r="F79" s="110"/>
      <c r="G79" s="66">
        <v>0.11799999999999999</v>
      </c>
      <c r="H79" s="111">
        <v>2.2803420720004172E-4</v>
      </c>
      <c r="I79" s="87">
        <f t="shared" si="64"/>
        <v>5423</v>
      </c>
      <c r="J79" s="87">
        <f t="shared" si="65"/>
        <v>639.91399999999999</v>
      </c>
      <c r="K79" s="87">
        <f t="shared" si="66"/>
        <v>1.2366295056458264E-3</v>
      </c>
      <c r="L79" s="87">
        <f t="shared" si="67"/>
        <v>1.8189014544257545</v>
      </c>
      <c r="M79" s="87">
        <f t="shared" si="68"/>
        <v>1.7023261590537533</v>
      </c>
      <c r="N79" s="112">
        <v>5.423</v>
      </c>
      <c r="O79" s="112">
        <f t="shared" si="69"/>
        <v>0.63991399999999998</v>
      </c>
      <c r="P79" s="113">
        <f t="shared" si="70"/>
        <v>1.2366295056458535E-4</v>
      </c>
      <c r="Q79" s="114">
        <f t="shared" si="71"/>
        <v>1.8189014544257545</v>
      </c>
      <c r="R79" s="109"/>
      <c r="S79" s="115">
        <f t="shared" si="72"/>
        <v>1.130066432</v>
      </c>
      <c r="T79" s="116">
        <f t="shared" si="73"/>
        <v>0.68373531072000004</v>
      </c>
      <c r="U79" s="116">
        <f t="shared" si="74"/>
        <v>5.099711705754407E-3</v>
      </c>
      <c r="V79" s="116">
        <f t="shared" si="75"/>
        <v>1.8189014544257545</v>
      </c>
      <c r="W79" s="116"/>
      <c r="X79" s="117">
        <f t="shared" si="76"/>
        <v>0.62129063080922842</v>
      </c>
      <c r="Y79" s="117">
        <f t="shared" si="77"/>
        <v>0.37590563746943739</v>
      </c>
      <c r="Z79" s="117">
        <f t="shared" ref="Z79" si="79">U79/V79</f>
        <v>2.8037317213342036E-3</v>
      </c>
    </row>
    <row r="80" spans="1:26" x14ac:dyDescent="0.3">
      <c r="A80" s="122" t="s">
        <v>53</v>
      </c>
      <c r="B80" s="109"/>
      <c r="C80" s="120">
        <v>0.88</v>
      </c>
      <c r="D80" s="109">
        <f>C80*$B$4</f>
        <v>0.3256</v>
      </c>
      <c r="E80" s="109">
        <f>(-2.85*C80+3.6)*((1-C80)*3.9*$B$8^(-1.2))</f>
        <v>6.4435625252849373</v>
      </c>
      <c r="F80" s="123"/>
      <c r="G80" s="66">
        <v>0.13300000000000001</v>
      </c>
      <c r="H80" s="111">
        <v>7.7624711662869063E-4</v>
      </c>
      <c r="I80" s="87">
        <f t="shared" si="64"/>
        <v>8277</v>
      </c>
      <c r="J80" s="87">
        <f>G80*I80</f>
        <v>1100.8410000000001</v>
      </c>
      <c r="K80" s="87">
        <f t="shared" si="66"/>
        <v>6.4249973843356718E-3</v>
      </c>
      <c r="L80" s="87">
        <f t="shared" si="67"/>
        <v>2.9275168779972858</v>
      </c>
      <c r="M80" s="87">
        <f t="shared" si="68"/>
        <v>2.7398892613781123</v>
      </c>
      <c r="N80" s="112">
        <v>8.2769999999999992</v>
      </c>
      <c r="O80" s="112">
        <f t="shared" si="69"/>
        <v>1.100841</v>
      </c>
      <c r="P80" s="113">
        <f t="shared" si="70"/>
        <v>6.4249973843356998E-4</v>
      </c>
      <c r="Q80" s="114">
        <f t="shared" si="71"/>
        <v>2.9275168779972858</v>
      </c>
      <c r="R80" s="109"/>
      <c r="S80" s="115">
        <f t="shared" si="72"/>
        <v>1.7247943679999997</v>
      </c>
      <c r="T80" s="116">
        <f t="shared" si="73"/>
        <v>1.1762265916800001</v>
      </c>
      <c r="U80" s="116">
        <f t="shared" si="74"/>
        <v>2.6495918317285927E-2</v>
      </c>
      <c r="V80" s="116">
        <f t="shared" si="75"/>
        <v>2.9275168779972858</v>
      </c>
      <c r="W80" s="116"/>
      <c r="X80" s="117">
        <f t="shared" si="76"/>
        <v>0.58916632760113463</v>
      </c>
      <c r="Y80" s="117">
        <f t="shared" si="77"/>
        <v>0.40178302660535187</v>
      </c>
      <c r="Z80" s="117">
        <f>U80/V80</f>
        <v>9.0506457935135062E-3</v>
      </c>
    </row>
    <row r="81" spans="1:26" x14ac:dyDescent="0.3">
      <c r="A81" s="122" t="s">
        <v>54</v>
      </c>
      <c r="B81" s="109"/>
      <c r="C81" s="120">
        <v>0.88</v>
      </c>
      <c r="D81" s="109">
        <f t="shared" ref="D81:D85" si="80">C81*$B$4</f>
        <v>0.3256</v>
      </c>
      <c r="E81" s="109">
        <f t="shared" ref="E81:E85" si="81">(-2.85*C81+3.6)*((1-C81)*3.9*$B$8^(-1.2))</f>
        <v>6.4435625252849373</v>
      </c>
      <c r="F81" s="123"/>
      <c r="G81" s="66">
        <v>0.122</v>
      </c>
      <c r="H81" s="111">
        <v>6.9984199600227391E-5</v>
      </c>
      <c r="I81" s="87">
        <f t="shared" si="64"/>
        <v>3938</v>
      </c>
      <c r="J81" s="87">
        <f t="shared" si="65"/>
        <v>480.43599999999998</v>
      </c>
      <c r="K81" s="87">
        <f t="shared" si="66"/>
        <v>2.7559777802569545E-4</v>
      </c>
      <c r="L81" s="87">
        <f t="shared" si="67"/>
        <v>1.3350889814493045</v>
      </c>
      <c r="M81" s="87">
        <f t="shared" si="68"/>
        <v>1.2495217331623469</v>
      </c>
      <c r="N81" s="112">
        <v>3.9380000000000002</v>
      </c>
      <c r="O81" s="112">
        <f t="shared" si="69"/>
        <v>0.48043600000000003</v>
      </c>
      <c r="P81" s="113">
        <f t="shared" si="70"/>
        <v>2.7559777802566849E-5</v>
      </c>
      <c r="Q81" s="114">
        <f t="shared" si="71"/>
        <v>1.3350889814493048</v>
      </c>
      <c r="R81" s="109"/>
      <c r="S81" s="115">
        <f t="shared" si="72"/>
        <v>0.82061619200000013</v>
      </c>
      <c r="T81" s="116">
        <f t="shared" si="73"/>
        <v>0.5133362572800001</v>
      </c>
      <c r="U81" s="116">
        <f t="shared" si="74"/>
        <v>1.1365321693043162E-3</v>
      </c>
      <c r="V81" s="116">
        <f t="shared" si="75"/>
        <v>1.3350889814493048</v>
      </c>
      <c r="W81" s="116"/>
      <c r="X81" s="117">
        <f t="shared" si="76"/>
        <v>0.61465280846613002</v>
      </c>
      <c r="Y81" s="117">
        <f t="shared" si="77"/>
        <v>0.38449591331564159</v>
      </c>
      <c r="Z81" s="117">
        <f t="shared" ref="Z81:Z85" si="82">U81/V81</f>
        <v>8.5127821822823726E-4</v>
      </c>
    </row>
    <row r="82" spans="1:26" x14ac:dyDescent="0.3">
      <c r="A82" s="122" t="s">
        <v>55</v>
      </c>
      <c r="B82" s="109"/>
      <c r="C82" s="120">
        <v>0.88</v>
      </c>
      <c r="D82" s="109">
        <f t="shared" si="80"/>
        <v>0.3256</v>
      </c>
      <c r="E82" s="109">
        <f t="shared" si="81"/>
        <v>6.4435625252849373</v>
      </c>
      <c r="F82" s="122"/>
      <c r="G82" s="66">
        <v>0.19400000000000001</v>
      </c>
      <c r="H82" s="111">
        <v>1.0543868963912584E-3</v>
      </c>
      <c r="I82" s="87">
        <f t="shared" si="64"/>
        <v>6135</v>
      </c>
      <c r="J82" s="87">
        <f t="shared" si="65"/>
        <v>1190.19</v>
      </c>
      <c r="K82" s="87">
        <f t="shared" si="66"/>
        <v>6.4686636093603698E-3</v>
      </c>
      <c r="L82" s="87">
        <f t="shared" si="67"/>
        <v>2.5768060437900475</v>
      </c>
      <c r="M82" s="87">
        <f t="shared" si="68"/>
        <v>2.4116558511062887</v>
      </c>
      <c r="N82" s="112">
        <v>6.1349999999999998</v>
      </c>
      <c r="O82" s="112">
        <f t="shared" si="69"/>
        <v>1.1901900000000001</v>
      </c>
      <c r="P82" s="113">
        <f t="shared" si="70"/>
        <v>6.4686636093603655E-4</v>
      </c>
      <c r="Q82" s="114">
        <f t="shared" si="71"/>
        <v>2.5768060437900471</v>
      </c>
      <c r="R82" s="109"/>
      <c r="S82" s="115">
        <f t="shared" si="72"/>
        <v>1.27843584</v>
      </c>
      <c r="T82" s="116">
        <f t="shared" si="73"/>
        <v>1.2716942112000003</v>
      </c>
      <c r="U82" s="116">
        <f t="shared" si="74"/>
        <v>2.6675992590047267E-2</v>
      </c>
      <c r="V82" s="116">
        <f t="shared" si="75"/>
        <v>2.5768060437900471</v>
      </c>
      <c r="W82" s="116"/>
      <c r="X82" s="117">
        <f t="shared" si="76"/>
        <v>0.49613196269892185</v>
      </c>
      <c r="Y82" s="117">
        <f t="shared" si="77"/>
        <v>0.49351568941896479</v>
      </c>
      <c r="Z82" s="117">
        <f t="shared" si="82"/>
        <v>1.0352347882113542E-2</v>
      </c>
    </row>
    <row r="83" spans="1:26" x14ac:dyDescent="0.3">
      <c r="A83" s="124" t="s">
        <v>56</v>
      </c>
      <c r="B83" s="109"/>
      <c r="C83" s="120">
        <v>0.88</v>
      </c>
      <c r="D83" s="109">
        <f t="shared" si="80"/>
        <v>0.3256</v>
      </c>
      <c r="E83" s="109">
        <f t="shared" si="81"/>
        <v>6.4435625252849373</v>
      </c>
      <c r="F83" s="122"/>
      <c r="G83" s="66">
        <v>0.36799999999999999</v>
      </c>
      <c r="H83" s="111">
        <v>4.4668359215096279E-3</v>
      </c>
      <c r="I83" s="87">
        <f t="shared" si="64"/>
        <v>2234</v>
      </c>
      <c r="J83" s="87">
        <f t="shared" si="65"/>
        <v>822.11199999999997</v>
      </c>
      <c r="K83" s="87">
        <f t="shared" si="66"/>
        <v>9.9789114486525093E-3</v>
      </c>
      <c r="L83" s="87">
        <f t="shared" si="67"/>
        <v>1.3850919192663513</v>
      </c>
      <c r="M83" s="87">
        <f t="shared" si="68"/>
        <v>1.2963199304304724</v>
      </c>
      <c r="N83" s="112">
        <v>2.234</v>
      </c>
      <c r="O83" s="112">
        <f t="shared" si="69"/>
        <v>0.82211199999999995</v>
      </c>
      <c r="P83" s="113">
        <f t="shared" si="70"/>
        <v>9.9789114486524512E-4</v>
      </c>
      <c r="Q83" s="114">
        <f t="shared" si="71"/>
        <v>1.3850919192663513</v>
      </c>
      <c r="R83" s="109"/>
      <c r="S83" s="115">
        <f t="shared" si="72"/>
        <v>0.46552985600000002</v>
      </c>
      <c r="T83" s="116">
        <f t="shared" si="73"/>
        <v>0.87841022976000005</v>
      </c>
      <c r="U83" s="116">
        <f t="shared" si="74"/>
        <v>4.1151833506351203E-2</v>
      </c>
      <c r="V83" s="116">
        <f t="shared" si="75"/>
        <v>1.3850919192663513</v>
      </c>
      <c r="W83" s="116"/>
      <c r="X83" s="117">
        <f t="shared" si="76"/>
        <v>0.33610033350463814</v>
      </c>
      <c r="Y83" s="117">
        <f t="shared" si="77"/>
        <v>0.63418912314878861</v>
      </c>
      <c r="Z83" s="117">
        <f t="shared" si="82"/>
        <v>2.9710543346573203E-2</v>
      </c>
    </row>
    <row r="84" spans="1:26" x14ac:dyDescent="0.3">
      <c r="A84" s="124" t="s">
        <v>58</v>
      </c>
      <c r="B84" s="109"/>
      <c r="C84" s="120">
        <v>0.88</v>
      </c>
      <c r="D84" s="109">
        <f t="shared" si="80"/>
        <v>0.3256</v>
      </c>
      <c r="E84" s="109">
        <f t="shared" si="81"/>
        <v>6.4435625252849373</v>
      </c>
      <c r="F84" s="109"/>
      <c r="G84" s="66">
        <v>0.22</v>
      </c>
      <c r="H84" s="111">
        <v>1.5205475297324944E-2</v>
      </c>
      <c r="I84" s="87">
        <f t="shared" si="64"/>
        <v>272</v>
      </c>
      <c r="J84" s="87">
        <f t="shared" si="65"/>
        <v>59.84</v>
      </c>
      <c r="K84" s="87">
        <f t="shared" si="66"/>
        <v>4.1358892808723846E-3</v>
      </c>
      <c r="L84" s="87">
        <f t="shared" si="67"/>
        <v>0.13767420235453248</v>
      </c>
      <c r="M84" s="87">
        <f t="shared" si="68"/>
        <v>0.12885051882537105</v>
      </c>
      <c r="N84" s="112">
        <v>0.27200000000000002</v>
      </c>
      <c r="O84" s="112">
        <f t="shared" si="69"/>
        <v>5.9840000000000004E-2</v>
      </c>
      <c r="P84" s="113">
        <f t="shared" si="70"/>
        <v>4.1358892808723852E-4</v>
      </c>
      <c r="Q84" s="114">
        <f t="shared" si="71"/>
        <v>0.13767420235453248</v>
      </c>
      <c r="R84" s="109"/>
      <c r="S84" s="115">
        <f t="shared" si="72"/>
        <v>5.6680448000000008E-2</v>
      </c>
      <c r="T84" s="116">
        <f t="shared" si="73"/>
        <v>6.3937843200000011E-2</v>
      </c>
      <c r="U84" s="116">
        <f t="shared" si="74"/>
        <v>1.705591115453246E-2</v>
      </c>
      <c r="V84" s="116">
        <f t="shared" si="75"/>
        <v>0.13767420235453248</v>
      </c>
      <c r="W84" s="116"/>
      <c r="X84" s="117">
        <f t="shared" si="76"/>
        <v>0.41169984667163018</v>
      </c>
      <c r="Y84" s="117">
        <f t="shared" si="77"/>
        <v>0.46441411757992335</v>
      </c>
      <c r="Z84" s="117">
        <f t="shared" si="82"/>
        <v>0.12388603574844644</v>
      </c>
    </row>
    <row r="85" spans="1:26" x14ac:dyDescent="0.3">
      <c r="A85" s="124" t="s">
        <v>57</v>
      </c>
      <c r="B85" s="109"/>
      <c r="C85" s="120">
        <v>0.88</v>
      </c>
      <c r="D85" s="109">
        <f t="shared" si="80"/>
        <v>0.3256</v>
      </c>
      <c r="E85" s="109">
        <f t="shared" si="81"/>
        <v>6.4435625252849373</v>
      </c>
      <c r="F85" s="109"/>
      <c r="G85" s="66">
        <v>0.24199999999999999</v>
      </c>
      <c r="H85" s="111">
        <v>4.4668359215096279E-3</v>
      </c>
      <c r="I85" s="87">
        <f t="shared" si="64"/>
        <v>50</v>
      </c>
      <c r="J85" s="87">
        <f t="shared" si="65"/>
        <v>12.1</v>
      </c>
      <c r="K85" s="87">
        <f t="shared" si="66"/>
        <v>2.2334179607548139E-4</v>
      </c>
      <c r="L85" s="87">
        <f t="shared" si="67"/>
        <v>2.4268842769613955E-2</v>
      </c>
      <c r="M85" s="87">
        <f t="shared" si="68"/>
        <v>2.2713427270153817E-2</v>
      </c>
      <c r="N85" s="112">
        <v>0.05</v>
      </c>
      <c r="O85" s="112">
        <f t="shared" si="69"/>
        <v>1.21E-2</v>
      </c>
      <c r="P85" s="113">
        <f t="shared" si="70"/>
        <v>2.233417960754814E-5</v>
      </c>
      <c r="Q85" s="114">
        <f t="shared" si="71"/>
        <v>2.4268842769613955E-2</v>
      </c>
      <c r="R85" s="109"/>
      <c r="S85" s="115">
        <f t="shared" si="72"/>
        <v>1.04192E-2</v>
      </c>
      <c r="T85" s="116">
        <f t="shared" si="73"/>
        <v>1.2928608000000001E-2</v>
      </c>
      <c r="U85" s="116">
        <f t="shared" si="74"/>
        <v>9.2103476961395356E-4</v>
      </c>
      <c r="V85" s="116">
        <f t="shared" ref="V85" si="83">SUM(S85:U85)</f>
        <v>2.4268842769613955E-2</v>
      </c>
      <c r="W85" s="116"/>
      <c r="X85" s="117">
        <f t="shared" si="76"/>
        <v>0.42932413790431995</v>
      </c>
      <c r="Y85" s="117">
        <f t="shared" si="77"/>
        <v>0.53272453584755974</v>
      </c>
      <c r="Z85" s="117">
        <f t="shared" si="82"/>
        <v>3.7951326248120254E-2</v>
      </c>
    </row>
    <row r="88" spans="1:26" ht="18" x14ac:dyDescent="0.35">
      <c r="A88" s="70" t="s">
        <v>92</v>
      </c>
    </row>
    <row r="89" spans="1:26" ht="21" x14ac:dyDescent="0.4">
      <c r="A89" s="71" t="s">
        <v>148</v>
      </c>
    </row>
    <row r="90" spans="1:26" x14ac:dyDescent="0.3">
      <c r="A90" s="30" t="s">
        <v>103</v>
      </c>
      <c r="B90" s="77" t="s">
        <v>104</v>
      </c>
    </row>
    <row r="91" spans="1:26" x14ac:dyDescent="0.3">
      <c r="A91" t="s">
        <v>105</v>
      </c>
      <c r="B91">
        <v>0.37</v>
      </c>
    </row>
    <row r="92" spans="1:26" x14ac:dyDescent="0.3">
      <c r="A92" t="s">
        <v>106</v>
      </c>
      <c r="B92">
        <f>2.65*(1-B91)</f>
        <v>1.6695</v>
      </c>
    </row>
    <row r="93" spans="1:26" x14ac:dyDescent="0.3">
      <c r="A93" t="s">
        <v>107</v>
      </c>
      <c r="B93">
        <v>0.88</v>
      </c>
    </row>
    <row r="94" spans="1:26" x14ac:dyDescent="0.3">
      <c r="A94" t="s">
        <v>108</v>
      </c>
      <c r="B94">
        <f>B91*B93</f>
        <v>0.3256</v>
      </c>
    </row>
    <row r="95" spans="1:26" x14ac:dyDescent="0.3">
      <c r="A95" t="s">
        <v>109</v>
      </c>
      <c r="B95">
        <v>0.121</v>
      </c>
    </row>
    <row r="96" spans="1:26" x14ac:dyDescent="0.3">
      <c r="A96" s="87"/>
      <c r="B96" s="87"/>
    </row>
    <row r="97" spans="1:26" x14ac:dyDescent="0.3">
      <c r="A97" s="87"/>
      <c r="B97" s="87"/>
    </row>
    <row r="98" spans="1:26" ht="16.2" x14ac:dyDescent="0.3">
      <c r="A98" t="s">
        <v>110</v>
      </c>
      <c r="B98">
        <f>(-2.85*B93+3.6)*((1-B93)*3.9*B95^(-1.2))</f>
        <v>6.4435625252849373</v>
      </c>
    </row>
    <row r="99" spans="1:26" x14ac:dyDescent="0.3">
      <c r="A99" s="87"/>
      <c r="B99" s="87"/>
    </row>
    <row r="100" spans="1:26" x14ac:dyDescent="0.3">
      <c r="A100" t="s">
        <v>111</v>
      </c>
      <c r="B100">
        <f>B92*B101</f>
        <v>1.0684800000000001</v>
      </c>
    </row>
    <row r="101" spans="1:26" x14ac:dyDescent="0.3">
      <c r="A101" t="s">
        <v>149</v>
      </c>
      <c r="B101">
        <v>0.64</v>
      </c>
    </row>
    <row r="103" spans="1:26" x14ac:dyDescent="0.3">
      <c r="C103" s="96"/>
      <c r="D103" s="96"/>
      <c r="E103" s="97"/>
      <c r="F103" s="189"/>
      <c r="G103" s="189"/>
      <c r="N103" s="190" t="s">
        <v>114</v>
      </c>
      <c r="O103" s="190"/>
      <c r="P103" s="190"/>
      <c r="Q103" s="100"/>
      <c r="S103" s="191" t="s">
        <v>115</v>
      </c>
      <c r="T103" s="191"/>
      <c r="U103" s="191"/>
      <c r="V103" s="191"/>
      <c r="X103" t="s">
        <v>116</v>
      </c>
    </row>
    <row r="104" spans="1:26" ht="28.8" x14ac:dyDescent="0.3">
      <c r="C104" s="101" t="s">
        <v>117</v>
      </c>
      <c r="D104" s="102" t="s">
        <v>118</v>
      </c>
      <c r="E104" s="102" t="s">
        <v>119</v>
      </c>
      <c r="F104" s="101"/>
      <c r="G104" s="103" t="s">
        <v>120</v>
      </c>
      <c r="H104" s="102" t="s">
        <v>121</v>
      </c>
      <c r="I104" s="104" t="s">
        <v>122</v>
      </c>
      <c r="J104" s="104" t="s">
        <v>123</v>
      </c>
      <c r="K104" s="105" t="s">
        <v>124</v>
      </c>
      <c r="L104" s="104" t="s">
        <v>125</v>
      </c>
      <c r="M104" s="106" t="s">
        <v>126</v>
      </c>
      <c r="N104" s="107" t="s">
        <v>127</v>
      </c>
      <c r="O104" s="98" t="s">
        <v>128</v>
      </c>
      <c r="P104" s="98" t="s">
        <v>129</v>
      </c>
      <c r="Q104" s="102" t="s">
        <v>130</v>
      </c>
      <c r="S104" s="102" t="s">
        <v>131</v>
      </c>
      <c r="T104" s="98" t="s">
        <v>132</v>
      </c>
      <c r="U104" s="98" t="s">
        <v>133</v>
      </c>
      <c r="V104" s="102" t="s">
        <v>134</v>
      </c>
      <c r="X104" s="102" t="s">
        <v>131</v>
      </c>
      <c r="Y104" s="98" t="s">
        <v>132</v>
      </c>
      <c r="Z104" s="98" t="s">
        <v>133</v>
      </c>
    </row>
    <row r="105" spans="1:26" x14ac:dyDescent="0.3">
      <c r="A105" s="19" t="s">
        <v>135</v>
      </c>
      <c r="B105" s="98"/>
      <c r="C105" s="101" t="s">
        <v>136</v>
      </c>
      <c r="D105" t="s">
        <v>136</v>
      </c>
      <c r="E105" t="s">
        <v>137</v>
      </c>
      <c r="F105" s="101"/>
      <c r="G105" s="103" t="s">
        <v>88</v>
      </c>
      <c r="H105" s="102" t="s">
        <v>12</v>
      </c>
      <c r="I105" s="87"/>
      <c r="J105" s="87"/>
      <c r="K105" s="87"/>
      <c r="L105" s="87"/>
      <c r="M105" s="87" t="s">
        <v>138</v>
      </c>
      <c r="N105" s="102" t="s">
        <v>139</v>
      </c>
      <c r="O105" s="99" t="s">
        <v>140</v>
      </c>
      <c r="P105" s="99" t="s">
        <v>141</v>
      </c>
      <c r="Q105" s="99" t="s">
        <v>142</v>
      </c>
      <c r="S105" s="99" t="s">
        <v>143</v>
      </c>
      <c r="T105" s="99" t="s">
        <v>143</v>
      </c>
      <c r="U105" s="99" t="s">
        <v>142</v>
      </c>
      <c r="V105" s="102" t="s">
        <v>142</v>
      </c>
      <c r="X105" s="102"/>
      <c r="Y105" s="98"/>
      <c r="Z105" s="98"/>
    </row>
    <row r="106" spans="1:26" x14ac:dyDescent="0.3">
      <c r="A106" s="108" t="s">
        <v>49</v>
      </c>
      <c r="B106" s="109"/>
      <c r="C106" s="109">
        <v>0.88</v>
      </c>
      <c r="D106" s="109">
        <f>C106*$B$4</f>
        <v>0.3256</v>
      </c>
      <c r="E106" s="109">
        <f>(-2.85*C106+3.6)*((1-C106)*3.9*$B$8^(-1.2))</f>
        <v>6.4435625252849373</v>
      </c>
      <c r="F106" s="110"/>
      <c r="G106" s="66">
        <v>8.0000000000000002E-3</v>
      </c>
      <c r="H106" s="111">
        <v>9.506047936562795E-5</v>
      </c>
      <c r="I106" s="87">
        <f>N106*1000</f>
        <v>111</v>
      </c>
      <c r="J106" s="87">
        <f>G106*I106</f>
        <v>0.88800000000000001</v>
      </c>
      <c r="K106" s="87">
        <f>(I106*H106)/1000</f>
        <v>1.0551713209584703E-5</v>
      </c>
      <c r="L106" s="87">
        <f t="shared" ref="L106:L108" si="84">(I106*$B$101*$B$94+$B$92*$B$101*J106+$B$101*$B$98*K106*1000)/1000</f>
        <v>2.4122948239241496E-2</v>
      </c>
      <c r="M106" s="87">
        <f>L106/$B$101</f>
        <v>3.7692106623814836E-2</v>
      </c>
      <c r="N106" s="112">
        <v>0.111</v>
      </c>
      <c r="O106" s="112">
        <f>N106*G106</f>
        <v>8.8800000000000001E-4</v>
      </c>
      <c r="P106" s="113">
        <f>(L106-N106*D106*$B$101-O106*$B$100)/(E106*$B$101*1000)*100</f>
        <v>1.0551713209584712E-6</v>
      </c>
      <c r="Q106" s="114">
        <f>N106*D106*$B$101+O106*$B$100+P106/100*E106*$B$101*1000</f>
        <v>2.4122948239241496E-2</v>
      </c>
      <c r="R106" s="109"/>
      <c r="S106" s="115">
        <f>N106*D106*$B$101</f>
        <v>2.3130624000000002E-2</v>
      </c>
      <c r="T106" s="116">
        <f>O106*$B$101</f>
        <v>5.6831999999999998E-4</v>
      </c>
      <c r="U106" s="116">
        <f>P106/100*E106*$B$101*1000</f>
        <v>4.3513999241493817E-5</v>
      </c>
      <c r="V106" s="116">
        <f>SUM(S106:U106)</f>
        <v>2.3742457999241497E-2</v>
      </c>
      <c r="W106" s="116"/>
      <c r="X106" s="117">
        <f>S106/V106</f>
        <v>0.97423038510751325</v>
      </c>
      <c r="Y106" s="117">
        <f>T106/V106</f>
        <v>2.3936864498956097E-2</v>
      </c>
      <c r="Z106" s="117">
        <f>U106/V106</f>
        <v>1.8327503935306093E-3</v>
      </c>
    </row>
    <row r="107" spans="1:26" x14ac:dyDescent="0.3">
      <c r="A107" s="108" t="s">
        <v>50</v>
      </c>
      <c r="B107" s="119"/>
      <c r="C107" s="120">
        <v>0.88</v>
      </c>
      <c r="D107" s="109">
        <f>C107*$B$4</f>
        <v>0.3256</v>
      </c>
      <c r="E107" s="109">
        <f>(-2.85*C107+3.6)*((1-C107)*3.9*$B$8^(-1.2))</f>
        <v>6.4435625252849373</v>
      </c>
      <c r="F107" s="110"/>
      <c r="G107" s="66">
        <v>0.16600000000000001</v>
      </c>
      <c r="H107" s="111">
        <v>2.5292979964461428E-3</v>
      </c>
      <c r="I107" s="87">
        <f t="shared" ref="I107:I115" si="85">N107*1000</f>
        <v>55499</v>
      </c>
      <c r="J107" s="87">
        <f t="shared" ref="J107:J109" si="86">G107*I107</f>
        <v>9212.8340000000007</v>
      </c>
      <c r="K107" s="87">
        <f t="shared" ref="K107:K115" si="87">(I107*H107)/1000</f>
        <v>0.14037350950476449</v>
      </c>
      <c r="L107" s="87">
        <f t="shared" si="84"/>
        <v>21.987715998968088</v>
      </c>
      <c r="M107" s="87">
        <f>L107/$B$101</f>
        <v>34.355806248387637</v>
      </c>
      <c r="N107" s="112">
        <v>55.499000000000002</v>
      </c>
      <c r="O107" s="112">
        <f t="shared" ref="O107:O115" si="88">N107*G107</f>
        <v>9.2128340000000009</v>
      </c>
      <c r="P107" s="113">
        <f t="shared" ref="P107:P115" si="89">(L107-N107*D107*$B$101-O107*$B$100)/(E107*$B$101*1000)*100</f>
        <v>1.4037350950476498E-2</v>
      </c>
      <c r="Q107" s="114">
        <f t="shared" ref="Q107:Q115" si="90">N107*D107*$B$101+O107*$B$100+P107/100*E107*$B$101*1000</f>
        <v>21.987715998968085</v>
      </c>
      <c r="R107" s="109"/>
      <c r="S107" s="115">
        <f t="shared" ref="S107:S115" si="91">N107*D107*$B$101</f>
        <v>11.565103616000002</v>
      </c>
      <c r="T107" s="116">
        <f t="shared" ref="T107:T115" si="92">O107*$B$101</f>
        <v>5.8962137600000011</v>
      </c>
      <c r="U107" s="116">
        <f t="shared" ref="U107:U115" si="93">P107/100*E107*$B$101*1000</f>
        <v>0.57888351064808485</v>
      </c>
      <c r="V107" s="116">
        <f t="shared" ref="V107:V114" si="94">SUM(S107:U107)</f>
        <v>18.040200886648087</v>
      </c>
      <c r="W107" s="116"/>
      <c r="X107" s="117">
        <f t="shared" ref="X107:X115" si="95">S107/V107</f>
        <v>0.64107399294869083</v>
      </c>
      <c r="Y107" s="117">
        <f t="shared" ref="Y107:Y115" si="96">T107/V107</f>
        <v>0.32683747797752666</v>
      </c>
      <c r="Z107" s="117">
        <f t="shared" ref="Z107" si="97">U107/V107</f>
        <v>3.2088529073782547E-2</v>
      </c>
    </row>
    <row r="108" spans="1:26" x14ac:dyDescent="0.3">
      <c r="A108" s="108" t="s">
        <v>51</v>
      </c>
      <c r="B108" s="119"/>
      <c r="C108" s="120">
        <v>0.88</v>
      </c>
      <c r="D108" s="109">
        <f>C108*$B$4</f>
        <v>0.3256</v>
      </c>
      <c r="E108" s="109">
        <f>(-2.85*C108+3.6)*((1-C108)*3.9*$B$8^(-1.2))</f>
        <v>6.4435625252849373</v>
      </c>
      <c r="F108" s="110"/>
      <c r="G108" s="66">
        <v>0.22</v>
      </c>
      <c r="H108" s="111">
        <v>1.1694993910198723E-2</v>
      </c>
      <c r="I108" s="87">
        <f t="shared" si="85"/>
        <v>2685</v>
      </c>
      <c r="J108" s="87">
        <f t="shared" si="86"/>
        <v>590.70000000000005</v>
      </c>
      <c r="K108" s="87">
        <f t="shared" si="87"/>
        <v>3.1401058648883567E-2</v>
      </c>
      <c r="L108" s="87">
        <f t="shared" si="84"/>
        <v>1.3201563742491011</v>
      </c>
      <c r="M108" s="87">
        <f t="shared" ref="M108:M115" si="98">L108/$B$101</f>
        <v>2.0627443347642207</v>
      </c>
      <c r="N108" s="112">
        <v>2.6850000000000001</v>
      </c>
      <c r="O108" s="112">
        <f t="shared" si="88"/>
        <v>0.5907</v>
      </c>
      <c r="P108" s="113">
        <f t="shared" si="89"/>
        <v>3.1401058648883526E-3</v>
      </c>
      <c r="Q108" s="114">
        <f t="shared" si="90"/>
        <v>1.3201563742491009</v>
      </c>
      <c r="R108" s="109"/>
      <c r="S108" s="115">
        <f t="shared" si="91"/>
        <v>0.55951104000000007</v>
      </c>
      <c r="T108" s="116">
        <f t="shared" si="92"/>
        <v>0.378048</v>
      </c>
      <c r="U108" s="116">
        <f t="shared" si="93"/>
        <v>0.12949419824910102</v>
      </c>
      <c r="V108" s="116">
        <f t="shared" si="94"/>
        <v>1.0670532382491009</v>
      </c>
      <c r="W108" s="116"/>
      <c r="X108" s="117">
        <f t="shared" si="95"/>
        <v>0.5243515692975983</v>
      </c>
      <c r="Y108" s="117">
        <f t="shared" si="96"/>
        <v>0.35429160087675554</v>
      </c>
      <c r="Z108" s="117">
        <f>U108/V108</f>
        <v>0.12135682982564636</v>
      </c>
    </row>
    <row r="109" spans="1:26" x14ac:dyDescent="0.3">
      <c r="A109" s="121" t="s">
        <v>52</v>
      </c>
      <c r="B109" s="109"/>
      <c r="C109" s="120">
        <v>0.88</v>
      </c>
      <c r="D109" s="109">
        <f>C109*$B$4</f>
        <v>0.3256</v>
      </c>
      <c r="E109" s="109">
        <f>(-2.85*C109+3.6)*((1-C109)*3.9*$B$8^(-1.2))</f>
        <v>6.4435625252849373</v>
      </c>
      <c r="F109" s="110"/>
      <c r="G109" s="66">
        <v>0.11799999999999999</v>
      </c>
      <c r="H109" s="111">
        <v>2.2803420720004172E-4</v>
      </c>
      <c r="I109" s="87">
        <f t="shared" si="85"/>
        <v>375</v>
      </c>
      <c r="J109" s="87">
        <f t="shared" si="86"/>
        <v>44.25</v>
      </c>
      <c r="K109" s="87">
        <f t="shared" si="87"/>
        <v>8.551282770001564E-5</v>
      </c>
      <c r="L109" s="87">
        <f>(I109*$B$101*$B$94+$B$92*$B$101*J109+$B$101*$B$98*K109*1000)/1000</f>
        <v>0.12577688464127934</v>
      </c>
      <c r="M109" s="87">
        <f t="shared" si="98"/>
        <v>0.19652638225199898</v>
      </c>
      <c r="N109" s="112">
        <v>0.375</v>
      </c>
      <c r="O109" s="112">
        <f t="shared" si="88"/>
        <v>4.4249999999999998E-2</v>
      </c>
      <c r="P109" s="113">
        <f t="shared" si="89"/>
        <v>8.5512827700014312E-6</v>
      </c>
      <c r="Q109" s="114">
        <f t="shared" si="90"/>
        <v>0.12577688464127934</v>
      </c>
      <c r="R109" s="109"/>
      <c r="S109" s="115">
        <f t="shared" si="91"/>
        <v>7.8144000000000005E-2</v>
      </c>
      <c r="T109" s="116">
        <f t="shared" si="92"/>
        <v>2.8319999999999998E-2</v>
      </c>
      <c r="U109" s="116">
        <f t="shared" si="93"/>
        <v>3.5264464127933437E-4</v>
      </c>
      <c r="V109" s="116">
        <f t="shared" si="94"/>
        <v>0.10681664464127934</v>
      </c>
      <c r="W109" s="116"/>
      <c r="X109" s="117">
        <f t="shared" si="95"/>
        <v>0.73157137880926493</v>
      </c>
      <c r="Y109" s="117">
        <f t="shared" si="96"/>
        <v>0.26512721959303825</v>
      </c>
      <c r="Z109" s="117">
        <f t="shared" ref="Z109" si="99">U109/V109</f>
        <v>3.3014015976968319E-3</v>
      </c>
    </row>
    <row r="110" spans="1:26" x14ac:dyDescent="0.3">
      <c r="A110" s="122" t="s">
        <v>53</v>
      </c>
      <c r="B110" s="109"/>
      <c r="C110" s="120">
        <v>0.88</v>
      </c>
      <c r="D110" s="109">
        <f>C110*$B$4</f>
        <v>0.3256</v>
      </c>
      <c r="E110" s="109">
        <f>(-2.85*C110+3.6)*((1-C110)*3.9*$B$8^(-1.2))</f>
        <v>6.4435625252849373</v>
      </c>
      <c r="F110" s="123"/>
      <c r="G110" s="66">
        <v>0.13300000000000001</v>
      </c>
      <c r="H110" s="111">
        <v>7.7624711662869063E-4</v>
      </c>
      <c r="I110" s="87">
        <f t="shared" si="85"/>
        <v>6136</v>
      </c>
      <c r="J110" s="87">
        <f>G110*I110</f>
        <v>816.08800000000008</v>
      </c>
      <c r="K110" s="87">
        <f t="shared" si="87"/>
        <v>4.7630523076336454E-3</v>
      </c>
      <c r="L110" s="87">
        <f t="shared" ref="L110:L115" si="100">(I110*$B$101*$B$94+$B$92*$B$101*J110+$B$101*$B$98*K110*1000)/1000</f>
        <v>2.1702601864674818</v>
      </c>
      <c r="M110" s="87">
        <f t="shared" si="98"/>
        <v>3.3910315413554404</v>
      </c>
      <c r="N110" s="112">
        <v>6.1360000000000001</v>
      </c>
      <c r="O110" s="112">
        <f t="shared" si="88"/>
        <v>0.81608800000000004</v>
      </c>
      <c r="P110" s="113">
        <f t="shared" si="89"/>
        <v>4.7630523076335791E-4</v>
      </c>
      <c r="Q110" s="114">
        <f t="shared" si="90"/>
        <v>2.1702601864674813</v>
      </c>
      <c r="R110" s="109"/>
      <c r="S110" s="115">
        <f t="shared" si="91"/>
        <v>1.2786442240000002</v>
      </c>
      <c r="T110" s="116">
        <f t="shared" si="92"/>
        <v>0.52229632000000004</v>
      </c>
      <c r="U110" s="116">
        <f t="shared" si="93"/>
        <v>1.9642256227481392E-2</v>
      </c>
      <c r="V110" s="116">
        <f t="shared" si="94"/>
        <v>1.8205828002274818</v>
      </c>
      <c r="W110" s="116"/>
      <c r="X110" s="117">
        <f t="shared" si="95"/>
        <v>0.70232687238407043</v>
      </c>
      <c r="Y110" s="117">
        <f t="shared" si="96"/>
        <v>0.28688413398980761</v>
      </c>
      <c r="Z110" s="117">
        <f>U110/V110</f>
        <v>1.0788993626121861E-2</v>
      </c>
    </row>
    <row r="111" spans="1:26" x14ac:dyDescent="0.3">
      <c r="A111" s="122" t="s">
        <v>54</v>
      </c>
      <c r="B111" s="109"/>
      <c r="C111" s="120">
        <v>0.88</v>
      </c>
      <c r="D111" s="109">
        <f t="shared" ref="D111:D115" si="101">C111*$B$4</f>
        <v>0.3256</v>
      </c>
      <c r="E111" s="109">
        <f t="shared" ref="E111:E115" si="102">(-2.85*C111+3.6)*((1-C111)*3.9*$B$8^(-1.2))</f>
        <v>6.4435625252849373</v>
      </c>
      <c r="F111" s="123"/>
      <c r="G111" s="66">
        <v>0.122</v>
      </c>
      <c r="H111" s="111">
        <v>6.9984199600227391E-5</v>
      </c>
      <c r="I111" s="87">
        <f t="shared" si="85"/>
        <v>226</v>
      </c>
      <c r="J111" s="87">
        <f t="shared" ref="J111:J115" si="103">G111*I111</f>
        <v>27.571999999999999</v>
      </c>
      <c r="K111" s="87">
        <f t="shared" si="87"/>
        <v>1.5816429109651392E-5</v>
      </c>
      <c r="L111" s="87">
        <f t="shared" si="100"/>
        <v>7.662013961593267E-2</v>
      </c>
      <c r="M111" s="87">
        <f t="shared" si="98"/>
        <v>0.1197189681498948</v>
      </c>
      <c r="N111" s="112">
        <v>0.22600000000000001</v>
      </c>
      <c r="O111" s="112">
        <f t="shared" si="88"/>
        <v>2.7571999999999999E-2</v>
      </c>
      <c r="P111" s="113">
        <f t="shared" si="89"/>
        <v>1.581642910965394E-6</v>
      </c>
      <c r="Q111" s="114">
        <f t="shared" si="90"/>
        <v>7.662013961593267E-2</v>
      </c>
      <c r="R111" s="109"/>
      <c r="S111" s="115">
        <f t="shared" si="91"/>
        <v>4.7094784000000001E-2</v>
      </c>
      <c r="T111" s="116">
        <f t="shared" si="92"/>
        <v>1.7646080000000001E-2</v>
      </c>
      <c r="U111" s="116">
        <f t="shared" si="93"/>
        <v>6.5225055932666837E-5</v>
      </c>
      <c r="V111" s="116">
        <f t="shared" si="94"/>
        <v>6.4806089055932672E-2</v>
      </c>
      <c r="W111" s="116"/>
      <c r="X111" s="117">
        <f t="shared" si="95"/>
        <v>0.72670307198068307</v>
      </c>
      <c r="Y111" s="117">
        <f t="shared" si="96"/>
        <v>0.27229046308858523</v>
      </c>
      <c r="Z111" s="117">
        <f t="shared" ref="Z111:Z115" si="104">U111/V111</f>
        <v>1.0064649307316256E-3</v>
      </c>
    </row>
    <row r="112" spans="1:26" x14ac:dyDescent="0.3">
      <c r="A112" s="122" t="s">
        <v>55</v>
      </c>
      <c r="B112" s="109"/>
      <c r="C112" s="120">
        <v>0.88</v>
      </c>
      <c r="D112" s="109">
        <f t="shared" si="101"/>
        <v>0.3256</v>
      </c>
      <c r="E112" s="109">
        <f t="shared" si="102"/>
        <v>6.4435625252849373</v>
      </c>
      <c r="F112" s="122"/>
      <c r="G112" s="66">
        <v>0.19400000000000001</v>
      </c>
      <c r="H112" s="111">
        <v>1.0543868963912584E-3</v>
      </c>
      <c r="I112" s="87">
        <f t="shared" si="85"/>
        <v>38914</v>
      </c>
      <c r="J112" s="87">
        <f t="shared" si="103"/>
        <v>7549.3159999999998</v>
      </c>
      <c r="K112" s="87">
        <f t="shared" si="87"/>
        <v>4.103041168616943E-2</v>
      </c>
      <c r="L112" s="87">
        <f t="shared" si="100"/>
        <v>16.34455263048833</v>
      </c>
      <c r="M112" s="87">
        <f t="shared" si="98"/>
        <v>25.538363485138014</v>
      </c>
      <c r="N112" s="112">
        <v>38.914000000000001</v>
      </c>
      <c r="O112" s="112">
        <f t="shared" si="88"/>
        <v>7.5493160000000001</v>
      </c>
      <c r="P112" s="113">
        <f t="shared" si="89"/>
        <v>4.1030411686169607E-3</v>
      </c>
      <c r="Q112" s="114">
        <f t="shared" si="90"/>
        <v>16.34455263048833</v>
      </c>
      <c r="R112" s="109"/>
      <c r="S112" s="115">
        <f t="shared" si="91"/>
        <v>8.1090549759999995</v>
      </c>
      <c r="T112" s="116">
        <f t="shared" si="92"/>
        <v>4.8315622400000002</v>
      </c>
      <c r="U112" s="116">
        <f t="shared" si="93"/>
        <v>0.16920449480833002</v>
      </c>
      <c r="V112" s="116">
        <f t="shared" si="94"/>
        <v>13.10982171080833</v>
      </c>
      <c r="W112" s="116"/>
      <c r="X112" s="117">
        <f t="shared" si="95"/>
        <v>0.61854807448025995</v>
      </c>
      <c r="Y112" s="117">
        <f t="shared" si="96"/>
        <v>0.36854522865224337</v>
      </c>
      <c r="Z112" s="117">
        <f t="shared" si="104"/>
        <v>1.2906696867496695E-2</v>
      </c>
    </row>
    <row r="113" spans="1:33" x14ac:dyDescent="0.3">
      <c r="A113" s="124" t="s">
        <v>56</v>
      </c>
      <c r="B113" s="109"/>
      <c r="C113" s="120">
        <v>0.88</v>
      </c>
      <c r="D113" s="109">
        <f t="shared" si="101"/>
        <v>0.3256</v>
      </c>
      <c r="E113" s="109">
        <f t="shared" si="102"/>
        <v>6.4435625252849373</v>
      </c>
      <c r="F113" s="122"/>
      <c r="G113" s="66">
        <v>0.36799999999999999</v>
      </c>
      <c r="H113" s="111">
        <v>4.4668359215096279E-3</v>
      </c>
      <c r="I113" s="87">
        <f t="shared" si="85"/>
        <v>26763</v>
      </c>
      <c r="J113" s="87">
        <f t="shared" si="103"/>
        <v>9848.7839999999997</v>
      </c>
      <c r="K113" s="87">
        <f t="shared" si="87"/>
        <v>0.11954592976736217</v>
      </c>
      <c r="L113" s="87">
        <f t="shared" si="100"/>
        <v>16.593202791103565</v>
      </c>
      <c r="M113" s="87">
        <f t="shared" si="98"/>
        <v>25.926879361099321</v>
      </c>
      <c r="N113" s="112">
        <v>26.763000000000002</v>
      </c>
      <c r="O113" s="112">
        <f t="shared" si="88"/>
        <v>9.8487840000000002</v>
      </c>
      <c r="P113" s="113">
        <f t="shared" si="89"/>
        <v>1.1954592976736201E-2</v>
      </c>
      <c r="Q113" s="114">
        <f t="shared" si="90"/>
        <v>16.593202791103565</v>
      </c>
      <c r="R113" s="109"/>
      <c r="S113" s="115">
        <f t="shared" si="91"/>
        <v>5.5769809920000002</v>
      </c>
      <c r="T113" s="116">
        <f t="shared" si="92"/>
        <v>6.3032217600000005</v>
      </c>
      <c r="U113" s="116">
        <f t="shared" si="93"/>
        <v>0.49299307078356408</v>
      </c>
      <c r="V113" s="116">
        <f t="shared" si="94"/>
        <v>12.373195822783565</v>
      </c>
      <c r="W113" s="116"/>
      <c r="X113" s="117">
        <f t="shared" si="95"/>
        <v>0.45073084366213173</v>
      </c>
      <c r="Y113" s="117">
        <f t="shared" si="96"/>
        <v>0.50942552354933812</v>
      </c>
      <c r="Z113" s="117">
        <f t="shared" si="104"/>
        <v>3.9843632788530196E-2</v>
      </c>
    </row>
    <row r="114" spans="1:33" x14ac:dyDescent="0.3">
      <c r="A114" s="124" t="s">
        <v>58</v>
      </c>
      <c r="B114" s="109"/>
      <c r="C114" s="120">
        <v>0.88</v>
      </c>
      <c r="D114" s="109">
        <f t="shared" si="101"/>
        <v>0.3256</v>
      </c>
      <c r="E114" s="109">
        <f t="shared" si="102"/>
        <v>6.4435625252849373</v>
      </c>
      <c r="F114" s="109"/>
      <c r="G114" s="66">
        <v>0.22</v>
      </c>
      <c r="H114" s="111">
        <v>1.5205475297324944E-2</v>
      </c>
      <c r="I114" s="87">
        <f t="shared" si="85"/>
        <v>5944</v>
      </c>
      <c r="J114" s="87">
        <f t="shared" si="103"/>
        <v>1307.68</v>
      </c>
      <c r="K114" s="87">
        <f t="shared" si="87"/>
        <v>9.0381345167299468E-2</v>
      </c>
      <c r="L114" s="87">
        <f t="shared" si="100"/>
        <v>3.0085862455711063</v>
      </c>
      <c r="M114" s="87">
        <f t="shared" si="98"/>
        <v>4.7009160087048532</v>
      </c>
      <c r="N114" s="112">
        <v>5.944</v>
      </c>
      <c r="O114" s="112">
        <f t="shared" si="88"/>
        <v>1.30768</v>
      </c>
      <c r="P114" s="113">
        <f t="shared" si="89"/>
        <v>9.0381345167299433E-3</v>
      </c>
      <c r="Q114" s="114">
        <f t="shared" si="90"/>
        <v>3.0085862455711063</v>
      </c>
      <c r="R114" s="109"/>
      <c r="S114" s="115">
        <f t="shared" si="91"/>
        <v>1.238634496</v>
      </c>
      <c r="T114" s="116">
        <f t="shared" si="92"/>
        <v>0.83691519999999997</v>
      </c>
      <c r="U114" s="116">
        <f t="shared" si="93"/>
        <v>0.37272182317110625</v>
      </c>
      <c r="V114" s="116">
        <f t="shared" si="94"/>
        <v>2.4482715191711062</v>
      </c>
      <c r="W114" s="116"/>
      <c r="X114" s="117">
        <f t="shared" si="95"/>
        <v>0.50592202960370813</v>
      </c>
      <c r="Y114" s="117">
        <f t="shared" si="96"/>
        <v>0.34183920919169469</v>
      </c>
      <c r="Z114" s="117">
        <f t="shared" si="104"/>
        <v>0.15223876120459712</v>
      </c>
    </row>
    <row r="115" spans="1:33" x14ac:dyDescent="0.3">
      <c r="A115" s="124" t="s">
        <v>57</v>
      </c>
      <c r="B115" s="109"/>
      <c r="C115" s="120">
        <v>0.88</v>
      </c>
      <c r="D115" s="109">
        <f t="shared" si="101"/>
        <v>0.3256</v>
      </c>
      <c r="E115" s="109">
        <f t="shared" si="102"/>
        <v>6.4435625252849373</v>
      </c>
      <c r="F115" s="109"/>
      <c r="G115" s="66">
        <v>0.24199999999999999</v>
      </c>
      <c r="H115" s="111">
        <v>4.4668359215096279E-3</v>
      </c>
      <c r="I115" s="87">
        <f t="shared" si="85"/>
        <v>478</v>
      </c>
      <c r="J115" s="87">
        <f t="shared" si="103"/>
        <v>115.676</v>
      </c>
      <c r="K115" s="87">
        <f t="shared" si="87"/>
        <v>2.1351475704816025E-3</v>
      </c>
      <c r="L115" s="87">
        <f t="shared" si="100"/>
        <v>0.2320101368775094</v>
      </c>
      <c r="M115" s="87">
        <f t="shared" si="98"/>
        <v>0.36251583887110844</v>
      </c>
      <c r="N115" s="112">
        <v>0.47799999999999998</v>
      </c>
      <c r="O115" s="112">
        <f t="shared" si="88"/>
        <v>0.11567599999999999</v>
      </c>
      <c r="P115" s="113">
        <f t="shared" si="89"/>
        <v>2.1351475704815996E-4</v>
      </c>
      <c r="Q115" s="114">
        <f t="shared" si="90"/>
        <v>0.23201013687750938</v>
      </c>
      <c r="R115" s="109"/>
      <c r="S115" s="115">
        <f t="shared" si="91"/>
        <v>9.9607552000000002E-2</v>
      </c>
      <c r="T115" s="116">
        <f t="shared" si="92"/>
        <v>7.4032639999999997E-2</v>
      </c>
      <c r="U115" s="116">
        <f t="shared" si="93"/>
        <v>8.805092397509387E-3</v>
      </c>
      <c r="V115" s="116">
        <f t="shared" ref="V115" si="105">SUM(S115:U115)</f>
        <v>0.1824452843975094</v>
      </c>
      <c r="W115" s="116"/>
      <c r="X115" s="117">
        <f t="shared" si="95"/>
        <v>0.54595849012450426</v>
      </c>
      <c r="Y115" s="117">
        <f t="shared" si="96"/>
        <v>0.40577995887632068</v>
      </c>
      <c r="Z115" s="117">
        <f t="shared" si="104"/>
        <v>4.8261550999175E-2</v>
      </c>
    </row>
    <row r="118" spans="1:33" ht="18.600000000000001" thickBot="1" x14ac:dyDescent="0.4">
      <c r="A118" s="70" t="s">
        <v>150</v>
      </c>
    </row>
    <row r="119" spans="1:33" ht="58.8" x14ac:dyDescent="0.4">
      <c r="A119" s="71" t="s">
        <v>93</v>
      </c>
      <c r="W119" s="125" t="s">
        <v>94</v>
      </c>
      <c r="X119" s="126" t="s">
        <v>95</v>
      </c>
      <c r="Y119" s="126" t="s">
        <v>152</v>
      </c>
      <c r="Z119" s="127" t="s">
        <v>97</v>
      </c>
      <c r="AA119" s="75" t="s">
        <v>98</v>
      </c>
      <c r="AB119" s="76" t="s">
        <v>99</v>
      </c>
      <c r="AC119" s="74" t="s">
        <v>100</v>
      </c>
      <c r="AD119" s="30"/>
      <c r="AF119" s="30"/>
      <c r="AG119" s="30"/>
    </row>
    <row r="120" spans="1:33" x14ac:dyDescent="0.3">
      <c r="A120" s="30" t="s">
        <v>103</v>
      </c>
      <c r="B120" s="77" t="s">
        <v>104</v>
      </c>
      <c r="W120" s="88" t="s">
        <v>49</v>
      </c>
      <c r="X120" s="79">
        <f>X3</f>
        <v>14.469152716704</v>
      </c>
      <c r="Y120" s="79">
        <f>SUM(V135,V165,V195)</f>
        <v>14.823945592506545</v>
      </c>
      <c r="Z120" s="80">
        <f>(Y120-X120)/X120</f>
        <v>2.4520639373233802E-2</v>
      </c>
      <c r="AA120" s="81">
        <f>V135/X120</f>
        <v>0.67568941406462368</v>
      </c>
      <c r="AB120" s="82">
        <f>V165/X120</f>
        <v>0.24052340861734808</v>
      </c>
      <c r="AC120" s="83">
        <f>V195/X120</f>
        <v>0.10830781669126201</v>
      </c>
      <c r="AD120" s="15"/>
      <c r="AF120" s="84"/>
      <c r="AG120" s="84"/>
    </row>
    <row r="121" spans="1:33" x14ac:dyDescent="0.3">
      <c r="A121" t="s">
        <v>105</v>
      </c>
      <c r="B121">
        <v>0.37</v>
      </c>
      <c r="W121" s="88" t="s">
        <v>50</v>
      </c>
      <c r="X121" s="79">
        <f t="shared" ref="X121:X129" si="106">X4</f>
        <v>14.848123588936001</v>
      </c>
      <c r="Y121" s="79">
        <f t="shared" ref="Y121:Y127" si="107">SUM(V136,V166,V196)</f>
        <v>3.2804133894972098</v>
      </c>
      <c r="Z121" s="80">
        <f t="shared" ref="Z121:Z127" si="108">(Y121-X121)/X121</f>
        <v>-0.77906882510450071</v>
      </c>
      <c r="AA121" s="81">
        <f t="shared" ref="AA121:AA127" si="109">V136/X121</f>
        <v>5.933644925654822E-2</v>
      </c>
      <c r="AB121" s="82">
        <f t="shared" ref="AB121:AB127" si="110">V166/X121</f>
        <v>5.3397968162633827E-2</v>
      </c>
      <c r="AC121" s="83">
        <f t="shared" ref="AC121:AC127" si="111">V196/X121</f>
        <v>0.10819675747631735</v>
      </c>
      <c r="AD121" s="15"/>
      <c r="AF121" s="84"/>
      <c r="AG121" s="84"/>
    </row>
    <row r="122" spans="1:33" x14ac:dyDescent="0.3">
      <c r="A122" t="s">
        <v>106</v>
      </c>
      <c r="B122">
        <f>2.65*(1-B121)</f>
        <v>1.6695</v>
      </c>
      <c r="W122" s="88" t="s">
        <v>51</v>
      </c>
      <c r="X122" s="79">
        <f t="shared" si="106"/>
        <v>1.4824424605600002</v>
      </c>
      <c r="Y122" s="79">
        <f t="shared" si="107"/>
        <v>8.3923348651636309E-2</v>
      </c>
      <c r="Z122" s="80">
        <f t="shared" si="108"/>
        <v>-0.94338846135051069</v>
      </c>
      <c r="AA122" s="81">
        <f t="shared" si="109"/>
        <v>2.9083115607921397E-2</v>
      </c>
      <c r="AB122" s="82">
        <f t="shared" si="110"/>
        <v>1.1608371162106904E-2</v>
      </c>
      <c r="AC122" s="83">
        <f t="shared" si="111"/>
        <v>1.5920051879460891E-2</v>
      </c>
      <c r="AD122" s="15"/>
      <c r="AF122" s="84"/>
      <c r="AG122" s="84"/>
    </row>
    <row r="123" spans="1:33" x14ac:dyDescent="0.3">
      <c r="A123" t="s">
        <v>107</v>
      </c>
      <c r="B123">
        <v>0.88</v>
      </c>
      <c r="W123" s="88" t="s">
        <v>52</v>
      </c>
      <c r="X123" s="79">
        <f t="shared" si="106"/>
        <v>21.830863014336</v>
      </c>
      <c r="Y123" s="79">
        <f>SUM(V138,V168,V198)</f>
        <v>29.984098269333327</v>
      </c>
      <c r="Z123" s="80">
        <f t="shared" si="108"/>
        <v>0.37347287872418145</v>
      </c>
      <c r="AA123" s="81">
        <f t="shared" si="109"/>
        <v>0.82239639783647167</v>
      </c>
      <c r="AB123" s="82">
        <f t="shared" si="110"/>
        <v>0.35071715760246996</v>
      </c>
      <c r="AC123" s="83">
        <f t="shared" si="111"/>
        <v>0.20035932328523973</v>
      </c>
      <c r="AD123" s="15"/>
      <c r="AF123" s="84"/>
      <c r="AG123" s="84"/>
    </row>
    <row r="124" spans="1:33" x14ac:dyDescent="0.3">
      <c r="A124" t="s">
        <v>108</v>
      </c>
      <c r="B124">
        <f>B121*B123</f>
        <v>0.3256</v>
      </c>
      <c r="W124" s="88" t="s">
        <v>53</v>
      </c>
      <c r="X124" s="79">
        <f t="shared" si="106"/>
        <v>13.305839013618002</v>
      </c>
      <c r="Y124" s="79">
        <f t="shared" si="107"/>
        <v>13.531144294106884</v>
      </c>
      <c r="Z124" s="80">
        <f t="shared" si="108"/>
        <v>1.6932812749221704E-2</v>
      </c>
      <c r="AA124" s="81">
        <f t="shared" si="109"/>
        <v>0.42277004503440557</v>
      </c>
      <c r="AB124" s="82">
        <f t="shared" si="110"/>
        <v>0.2778129103817053</v>
      </c>
      <c r="AC124" s="83">
        <f t="shared" si="111"/>
        <v>0.31634985733311083</v>
      </c>
      <c r="AD124" s="15"/>
      <c r="AF124" s="84"/>
      <c r="AG124" s="84"/>
    </row>
    <row r="125" spans="1:33" x14ac:dyDescent="0.3">
      <c r="A125" t="s">
        <v>109</v>
      </c>
      <c r="B125">
        <v>0.121</v>
      </c>
      <c r="W125" s="88" t="s">
        <v>54</v>
      </c>
      <c r="X125" s="79">
        <f t="shared" si="106"/>
        <v>36.567628100564001</v>
      </c>
      <c r="Y125" s="79">
        <f t="shared" si="107"/>
        <v>56.431474449060993</v>
      </c>
      <c r="Z125" s="80">
        <f t="shared" si="108"/>
        <v>0.54320849834366536</v>
      </c>
      <c r="AA125" s="81">
        <f t="shared" si="109"/>
        <v>1.0732958235629662</v>
      </c>
      <c r="AB125" s="82">
        <f t="shared" si="110"/>
        <v>0.32824816514966276</v>
      </c>
      <c r="AC125" s="83">
        <f t="shared" si="111"/>
        <v>0.14166450963103647</v>
      </c>
      <c r="AD125" s="15"/>
      <c r="AF125" s="84"/>
      <c r="AG125" s="84"/>
    </row>
    <row r="126" spans="1:33" x14ac:dyDescent="0.3">
      <c r="A126" s="87"/>
      <c r="B126" s="87"/>
      <c r="W126" s="88" t="s">
        <v>55</v>
      </c>
      <c r="X126" s="79">
        <f t="shared" si="106"/>
        <v>13.966107878243999</v>
      </c>
      <c r="Y126" s="79">
        <f t="shared" si="107"/>
        <v>7.0168875173088407</v>
      </c>
      <c r="Z126" s="80">
        <f t="shared" si="108"/>
        <v>-0.49757745117810909</v>
      </c>
      <c r="AA126" s="81">
        <f t="shared" si="109"/>
        <v>0.15809734792856714</v>
      </c>
      <c r="AB126" s="82">
        <f t="shared" si="110"/>
        <v>0.13552114212944433</v>
      </c>
      <c r="AC126" s="83">
        <f t="shared" si="111"/>
        <v>0.20880405876387945</v>
      </c>
      <c r="AD126" s="15"/>
      <c r="AF126" s="84"/>
      <c r="AG126" s="84"/>
    </row>
    <row r="127" spans="1:33" x14ac:dyDescent="0.3">
      <c r="A127" s="87"/>
      <c r="B127" s="87"/>
      <c r="W127" s="88" t="s">
        <v>56</v>
      </c>
      <c r="X127" s="79">
        <f t="shared" si="106"/>
        <v>10.763356184192</v>
      </c>
      <c r="Y127" s="79">
        <f t="shared" si="107"/>
        <v>3.2266627667152683</v>
      </c>
      <c r="Z127" s="80">
        <f t="shared" si="108"/>
        <v>-0.70021778416529357</v>
      </c>
      <c r="AA127" s="81">
        <f t="shared" si="109"/>
        <v>9.3403826291199754E-2</v>
      </c>
      <c r="AB127" s="82">
        <f t="shared" si="110"/>
        <v>7.6540446613895613E-2</v>
      </c>
      <c r="AC127" s="83">
        <f t="shared" si="111"/>
        <v>0.12983794292961104</v>
      </c>
      <c r="AD127" s="15"/>
      <c r="AF127" s="84"/>
      <c r="AG127" s="84"/>
    </row>
    <row r="128" spans="1:33" ht="16.2" x14ac:dyDescent="0.3">
      <c r="A128" t="s">
        <v>110</v>
      </c>
      <c r="B128">
        <f>(-2.85*B123+3.6)*((1-B123)*3.9*B125^(-1.2))</f>
        <v>6.4435625252849373</v>
      </c>
      <c r="W128" s="88" t="s">
        <v>57</v>
      </c>
      <c r="X128" s="79">
        <f t="shared" si="106"/>
        <v>2.7038282270799998</v>
      </c>
      <c r="Y128" s="79">
        <f>SUM(V144,V174,V204)</f>
        <v>0.17258180814541724</v>
      </c>
      <c r="Z128" s="80">
        <f>(Y128-X128)/X128</f>
        <v>-0.93617131206156645</v>
      </c>
      <c r="AA128" s="81">
        <f>V144/X128</f>
        <v>4.5159161355632776E-2</v>
      </c>
      <c r="AB128" s="82">
        <f>V174/X128</f>
        <v>8.9757339340388129E-3</v>
      </c>
      <c r="AC128" s="83">
        <f>V204/X128</f>
        <v>9.6937926487619171E-3</v>
      </c>
      <c r="AD128" s="15"/>
      <c r="AF128" s="84"/>
      <c r="AG128" s="84"/>
    </row>
    <row r="129" spans="1:33" ht="15" thickBot="1" x14ac:dyDescent="0.35">
      <c r="A129" s="89"/>
      <c r="B129" s="89"/>
      <c r="W129" s="90" t="s">
        <v>58</v>
      </c>
      <c r="X129" s="91">
        <f t="shared" si="106"/>
        <v>0.44824988327999993</v>
      </c>
      <c r="Y129" s="91">
        <f>SUM(V143,V173,V203)</f>
        <v>0.61497851419395932</v>
      </c>
      <c r="Z129" s="92">
        <f>(Y129-X129)/X129</f>
        <v>0.37195465550140949</v>
      </c>
      <c r="AA129" s="93">
        <f>V143/X129</f>
        <v>0.98041121780995788</v>
      </c>
      <c r="AB129" s="14">
        <f>V173/X129</f>
        <v>0.13409021838748345</v>
      </c>
      <c r="AC129" s="28">
        <f>V203/X129</f>
        <v>0.25745321930396825</v>
      </c>
      <c r="AD129" s="128"/>
      <c r="AE129" s="15"/>
      <c r="AF129" s="84"/>
      <c r="AG129" s="84"/>
    </row>
    <row r="130" spans="1:33" x14ac:dyDescent="0.3">
      <c r="A130" t="s">
        <v>111</v>
      </c>
      <c r="B130">
        <f>B122*B131</f>
        <v>1.5359400000000001</v>
      </c>
    </row>
    <row r="131" spans="1:33" x14ac:dyDescent="0.3">
      <c r="A131" t="s">
        <v>112</v>
      </c>
      <c r="B131">
        <v>0.92</v>
      </c>
      <c r="AB131" s="95"/>
      <c r="AC131" s="95"/>
      <c r="AD131" s="95"/>
      <c r="AE131" s="95"/>
      <c r="AF131" s="95"/>
      <c r="AG131" s="95"/>
    </row>
    <row r="132" spans="1:33" x14ac:dyDescent="0.3">
      <c r="C132" s="96"/>
      <c r="D132" s="96"/>
      <c r="E132" s="97"/>
      <c r="F132" s="189"/>
      <c r="G132" s="189"/>
      <c r="N132" s="190" t="s">
        <v>114</v>
      </c>
      <c r="O132" s="190"/>
      <c r="P132" s="190"/>
      <c r="Q132" s="100"/>
      <c r="S132" s="191" t="s">
        <v>115</v>
      </c>
      <c r="T132" s="191"/>
      <c r="U132" s="191"/>
      <c r="V132" s="191"/>
      <c r="X132" t="s">
        <v>116</v>
      </c>
    </row>
    <row r="133" spans="1:33" ht="28.8" x14ac:dyDescent="0.3">
      <c r="C133" s="101" t="s">
        <v>117</v>
      </c>
      <c r="D133" s="102" t="s">
        <v>118</v>
      </c>
      <c r="E133" s="102" t="s">
        <v>119</v>
      </c>
      <c r="F133" s="101"/>
      <c r="G133" s="103" t="s">
        <v>120</v>
      </c>
      <c r="H133" s="102" t="s">
        <v>121</v>
      </c>
      <c r="I133" s="104" t="s">
        <v>122</v>
      </c>
      <c r="J133" s="104" t="s">
        <v>123</v>
      </c>
      <c r="K133" s="105" t="s">
        <v>124</v>
      </c>
      <c r="L133" s="104" t="s">
        <v>125</v>
      </c>
      <c r="M133" s="106" t="s">
        <v>151</v>
      </c>
      <c r="N133" s="107" t="s">
        <v>127</v>
      </c>
      <c r="O133" s="98" t="s">
        <v>128</v>
      </c>
      <c r="P133" s="98" t="s">
        <v>129</v>
      </c>
      <c r="Q133" s="102" t="s">
        <v>130</v>
      </c>
      <c r="S133" s="102" t="s">
        <v>131</v>
      </c>
      <c r="T133" s="98" t="s">
        <v>132</v>
      </c>
      <c r="U133" s="98" t="s">
        <v>133</v>
      </c>
      <c r="V133" s="102" t="s">
        <v>134</v>
      </c>
      <c r="X133" s="102" t="s">
        <v>131</v>
      </c>
      <c r="Y133" s="98" t="s">
        <v>132</v>
      </c>
      <c r="Z133" s="98" t="s">
        <v>133</v>
      </c>
    </row>
    <row r="134" spans="1:33" x14ac:dyDescent="0.3">
      <c r="A134" s="19" t="s">
        <v>135</v>
      </c>
      <c r="B134" s="98"/>
      <c r="C134" s="101" t="s">
        <v>136</v>
      </c>
      <c r="D134" t="s">
        <v>136</v>
      </c>
      <c r="E134" t="s">
        <v>137</v>
      </c>
      <c r="F134" s="101"/>
      <c r="G134" s="103" t="s">
        <v>88</v>
      </c>
      <c r="H134" s="102" t="s">
        <v>12</v>
      </c>
      <c r="I134" s="87"/>
      <c r="J134" s="87"/>
      <c r="K134" s="87"/>
      <c r="L134" s="87"/>
      <c r="M134" s="87" t="s">
        <v>138</v>
      </c>
      <c r="N134" s="102" t="s">
        <v>139</v>
      </c>
      <c r="O134" s="99" t="s">
        <v>140</v>
      </c>
      <c r="P134" s="99" t="s">
        <v>141</v>
      </c>
      <c r="Q134" s="99" t="s">
        <v>142</v>
      </c>
      <c r="S134" s="99" t="s">
        <v>143</v>
      </c>
      <c r="T134" s="99" t="s">
        <v>143</v>
      </c>
      <c r="U134" s="99" t="s">
        <v>142</v>
      </c>
      <c r="V134" s="102" t="s">
        <v>142</v>
      </c>
      <c r="X134" s="102"/>
      <c r="Y134" s="98"/>
      <c r="Z134" s="98"/>
    </row>
    <row r="135" spans="1:33" x14ac:dyDescent="0.3">
      <c r="A135" s="108" t="s">
        <v>49</v>
      </c>
      <c r="B135" s="109"/>
      <c r="C135" s="109">
        <v>0.88</v>
      </c>
      <c r="D135" s="109">
        <f>C135*$B$4</f>
        <v>0.3256</v>
      </c>
      <c r="E135" s="109">
        <f>(-2.85*C135+3.6)*((1-C135)*3.9*$B$8^(-1.2))</f>
        <v>6.4435625252849373</v>
      </c>
      <c r="F135" s="110"/>
      <c r="G135" s="66">
        <v>8.0000000000000002E-3</v>
      </c>
      <c r="H135" s="111">
        <v>9.506047936562795E-5</v>
      </c>
      <c r="I135" s="87">
        <f>N135*1000</f>
        <v>31295</v>
      </c>
      <c r="J135" s="87">
        <f>G135*I135</f>
        <v>250.36</v>
      </c>
      <c r="K135" s="87">
        <f>(I135*H135)/1000</f>
        <v>2.9749177017473266E-3</v>
      </c>
      <c r="L135" s="87">
        <f>(I135*$B$14*$B$7+$B$5*$B$14*J135+$B$14*$B$11*K135*1000)/1000</f>
        <v>9.7766533211612838</v>
      </c>
      <c r="M135" s="87">
        <f>L135/$B$13</f>
        <v>6.3652573154949303</v>
      </c>
      <c r="N135" s="112">
        <v>31.295000000000002</v>
      </c>
      <c r="O135" s="112">
        <f>N135*G135</f>
        <v>0.25036000000000003</v>
      </c>
      <c r="P135" s="113">
        <f>(L135-N135*D135*$B$14-O135*$B$13)/(E135*$B$14*1000)*100</f>
        <v>2.9749177017472683E-4</v>
      </c>
      <c r="Q135" s="114">
        <f>N135*D135*$B$14+O135*$B$13+P135/100*E135*$B$14*1000</f>
        <v>9.7766533211612838</v>
      </c>
      <c r="R135" s="109"/>
      <c r="S135" s="115">
        <f>N135*D135*$B$14</f>
        <v>9.3744798400000011</v>
      </c>
      <c r="T135" s="116">
        <f t="shared" ref="T135:T144" si="112">O135*$B$13</f>
        <v>0.38453793840000006</v>
      </c>
      <c r="U135" s="116">
        <f>P135/100*E135*$B$14*1000</f>
        <v>1.7635542761282656E-2</v>
      </c>
      <c r="V135" s="116">
        <f>SUM(S135:U135)</f>
        <v>9.7766533211612838</v>
      </c>
      <c r="W135" s="116"/>
      <c r="X135" s="117">
        <f>S135/V135</f>
        <v>0.95886389054107202</v>
      </c>
      <c r="Y135" s="117">
        <f>T135/V135</f>
        <v>3.9332266959663874E-2</v>
      </c>
      <c r="Z135" s="117">
        <f>U135/V135</f>
        <v>1.8038424992641432E-3</v>
      </c>
      <c r="AC135" s="118"/>
      <c r="AD135" s="118"/>
      <c r="AE135" s="118"/>
      <c r="AF135" s="118"/>
    </row>
    <row r="136" spans="1:33" x14ac:dyDescent="0.3">
      <c r="A136" s="108" t="s">
        <v>50</v>
      </c>
      <c r="B136" s="119"/>
      <c r="C136" s="120">
        <v>0.88</v>
      </c>
      <c r="D136" s="109">
        <f>C136*$B$4</f>
        <v>0.3256</v>
      </c>
      <c r="E136" s="109">
        <f>(-2.85*C136+3.6)*((1-C136)*3.9*$B$8^(-1.2))</f>
        <v>6.4435625252849373</v>
      </c>
      <c r="F136" s="110"/>
      <c r="G136" s="66">
        <v>0.16600000000000001</v>
      </c>
      <c r="H136" s="111">
        <v>2.5292979964461428E-3</v>
      </c>
      <c r="I136" s="87">
        <f t="shared" ref="I136:I144" si="113">N136*1000</f>
        <v>1547</v>
      </c>
      <c r="J136" s="87">
        <f t="shared" ref="J136:J144" si="114">G136*I136</f>
        <v>256.80200000000002</v>
      </c>
      <c r="K136" s="87">
        <f t="shared" ref="K136:K144" si="115">(I136*H136)/1000</f>
        <v>3.912824000502183E-3</v>
      </c>
      <c r="L136" s="87">
        <f t="shared" ref="L136:L144" si="116">(I136*$B$14*$B$7+$B$5*$B$14*J136+$B$14*$B$11*K136*1000)/1000</f>
        <v>0.88103493188985771</v>
      </c>
      <c r="M136" s="87">
        <f t="shared" ref="M136:M144" si="117">L136/$B$13</f>
        <v>0.57361285720136046</v>
      </c>
      <c r="N136" s="112">
        <v>1.5469999999999999</v>
      </c>
      <c r="O136" s="112">
        <f t="shared" ref="O136:O144" si="118">N136*G136</f>
        <v>0.25680199999999997</v>
      </c>
      <c r="P136" s="113">
        <f t="shared" ref="P136:P144" si="119">(L136-N136*D136*$B$14-O136*$B$13)/(E136*$B$14*1000)*100</f>
        <v>3.9128240005021904E-4</v>
      </c>
      <c r="Q136" s="114">
        <f t="shared" ref="Q136:Q144" si="120">N136*D136*$B$14+O136*$B$13+P136/100*E136*$B$14*1000</f>
        <v>0.88103493188985771</v>
      </c>
      <c r="R136" s="109"/>
      <c r="S136" s="115">
        <f t="shared" ref="S136:S144" si="121">N136*D136*$B$14</f>
        <v>0.46340694400000004</v>
      </c>
      <c r="T136" s="116">
        <f t="shared" si="112"/>
        <v>0.39443246387999997</v>
      </c>
      <c r="U136" s="116">
        <f t="shared" ref="U136:U144" si="122">P136/100*E136*$B$14*1000</f>
        <v>2.3195524009857693E-2</v>
      </c>
      <c r="V136" s="116">
        <f t="shared" ref="V136:V143" si="123">SUM(S136:U136)</f>
        <v>0.88103493188985771</v>
      </c>
      <c r="W136" s="116"/>
      <c r="X136" s="117">
        <f t="shared" ref="X136:X144" si="124">S136/V136</f>
        <v>0.52598021625087243</v>
      </c>
      <c r="Y136" s="117">
        <f t="shared" ref="Y136:Y144" si="125">T136/V136</f>
        <v>0.44769219653291775</v>
      </c>
      <c r="Z136" s="117">
        <f t="shared" ref="Z136:Z144" si="126">U136/V136</f>
        <v>2.6327587216209803E-2</v>
      </c>
      <c r="AC136" s="118"/>
      <c r="AD136" s="118"/>
      <c r="AE136" s="118"/>
      <c r="AF136" s="118"/>
    </row>
    <row r="137" spans="1:33" x14ac:dyDescent="0.3">
      <c r="A137" s="108" t="s">
        <v>51</v>
      </c>
      <c r="B137" s="119"/>
      <c r="C137" s="120">
        <v>0.88</v>
      </c>
      <c r="D137" s="109">
        <f>C137*$B$4</f>
        <v>0.3256</v>
      </c>
      <c r="E137" s="109">
        <f>(-2.85*C137+3.6)*((1-C137)*3.9*$B$8^(-1.2))</f>
        <v>6.4435625252849373</v>
      </c>
      <c r="F137" s="110"/>
      <c r="G137" s="66">
        <v>0.22</v>
      </c>
      <c r="H137" s="111">
        <v>1.1694993910198723E-2</v>
      </c>
      <c r="I137" s="87">
        <f t="shared" si="113"/>
        <v>61</v>
      </c>
      <c r="J137" s="87">
        <f t="shared" si="114"/>
        <v>13.42</v>
      </c>
      <c r="K137" s="87">
        <f t="shared" si="115"/>
        <v>7.1339462852212205E-4</v>
      </c>
      <c r="L137" s="87">
        <f t="shared" si="116"/>
        <v>4.311404546255794E-2</v>
      </c>
      <c r="M137" s="87">
        <f t="shared" si="117"/>
        <v>2.8070136504393359E-2</v>
      </c>
      <c r="N137" s="112">
        <v>6.0999999999999999E-2</v>
      </c>
      <c r="O137" s="112">
        <f t="shared" si="118"/>
        <v>1.342E-2</v>
      </c>
      <c r="P137" s="113">
        <f t="shared" si="119"/>
        <v>7.1339462852212248E-5</v>
      </c>
      <c r="Q137" s="114">
        <f t="shared" si="120"/>
        <v>4.311404546255794E-2</v>
      </c>
      <c r="R137" s="109"/>
      <c r="S137" s="115">
        <f t="shared" si="121"/>
        <v>1.8272672E-2</v>
      </c>
      <c r="T137" s="116">
        <f t="shared" si="112"/>
        <v>2.06123148E-2</v>
      </c>
      <c r="U137" s="116">
        <f t="shared" si="122"/>
        <v>4.2290586625579399E-3</v>
      </c>
      <c r="V137" s="116">
        <f t="shared" si="123"/>
        <v>4.311404546255794E-2</v>
      </c>
      <c r="W137" s="116"/>
      <c r="X137" s="117">
        <f t="shared" si="124"/>
        <v>0.42382179180723739</v>
      </c>
      <c r="Y137" s="117">
        <f t="shared" si="125"/>
        <v>0.47808816312309654</v>
      </c>
      <c r="Z137" s="117">
        <f>U137/V137</f>
        <v>9.8090045069666065E-2</v>
      </c>
      <c r="AC137" s="118"/>
      <c r="AD137" s="118"/>
      <c r="AE137" s="118"/>
      <c r="AF137" s="118"/>
    </row>
    <row r="138" spans="1:33" x14ac:dyDescent="0.3">
      <c r="A138" s="121" t="s">
        <v>52</v>
      </c>
      <c r="B138" s="109"/>
      <c r="C138" s="120">
        <v>0.88</v>
      </c>
      <c r="D138" s="109">
        <f>C138*$B$4</f>
        <v>0.3256</v>
      </c>
      <c r="E138" s="109">
        <f>(-2.85*C138+3.6)*((1-C138)*3.9*$B$8^(-1.2))</f>
        <v>6.4435625252849373</v>
      </c>
      <c r="F138" s="110"/>
      <c r="G138" s="66">
        <v>0.11799999999999999</v>
      </c>
      <c r="H138" s="111">
        <v>2.2803420720004172E-4</v>
      </c>
      <c r="I138" s="87">
        <f t="shared" si="113"/>
        <v>37237</v>
      </c>
      <c r="J138" s="87">
        <f t="shared" si="114"/>
        <v>4393.9659999999994</v>
      </c>
      <c r="K138" s="87">
        <f t="shared" si="115"/>
        <v>8.4913097735079546E-3</v>
      </c>
      <c r="L138" s="87">
        <f t="shared" si="116"/>
        <v>17.953623104651385</v>
      </c>
      <c r="M138" s="87">
        <f t="shared" si="117"/>
        <v>11.689013310839867</v>
      </c>
      <c r="N138" s="112">
        <v>37.237000000000002</v>
      </c>
      <c r="O138" s="112">
        <f t="shared" si="118"/>
        <v>4.3939659999999998</v>
      </c>
      <c r="P138" s="113">
        <f t="shared" si="119"/>
        <v>8.4913097735071492E-4</v>
      </c>
      <c r="Q138" s="114">
        <f t="shared" si="120"/>
        <v>17.953623104651385</v>
      </c>
      <c r="R138" s="109"/>
      <c r="S138" s="115">
        <f t="shared" si="121"/>
        <v>11.154417824000001</v>
      </c>
      <c r="T138" s="116">
        <f t="shared" si="112"/>
        <v>6.7488681380399997</v>
      </c>
      <c r="U138" s="116">
        <f t="shared" si="122"/>
        <v>5.0337142611383889E-2</v>
      </c>
      <c r="V138" s="116">
        <f t="shared" si="123"/>
        <v>17.953623104651385</v>
      </c>
      <c r="W138" s="116"/>
      <c r="X138" s="117">
        <f t="shared" si="124"/>
        <v>0.62129063080922864</v>
      </c>
      <c r="Y138" s="117">
        <f t="shared" si="125"/>
        <v>0.37590563746943745</v>
      </c>
      <c r="Z138" s="117">
        <f t="shared" si="126"/>
        <v>2.803731721333877E-3</v>
      </c>
      <c r="AC138" s="118"/>
      <c r="AD138" s="118"/>
      <c r="AE138" s="118"/>
      <c r="AF138" s="118"/>
    </row>
    <row r="139" spans="1:33" x14ac:dyDescent="0.3">
      <c r="A139" s="122" t="s">
        <v>53</v>
      </c>
      <c r="B139" s="109"/>
      <c r="C139" s="120">
        <v>0.88</v>
      </c>
      <c r="D139" s="109">
        <f>C139*$B$4</f>
        <v>0.3256</v>
      </c>
      <c r="E139" s="109">
        <f>(-2.85*C139+3.6)*((1-C139)*3.9*$B$8^(-1.2))</f>
        <v>6.4435625252849373</v>
      </c>
      <c r="F139" s="123"/>
      <c r="G139" s="66">
        <v>0.13300000000000001</v>
      </c>
      <c r="H139" s="111">
        <v>7.7624711662869063E-4</v>
      </c>
      <c r="I139" s="87">
        <f t="shared" si="113"/>
        <v>11064</v>
      </c>
      <c r="J139" s="87">
        <f t="shared" si="114"/>
        <v>1471.5120000000002</v>
      </c>
      <c r="K139" s="87">
        <f t="shared" si="115"/>
        <v>8.5883980983798344E-3</v>
      </c>
      <c r="L139" s="87">
        <f t="shared" si="116"/>
        <v>5.6253101590078334</v>
      </c>
      <c r="M139" s="87">
        <f t="shared" si="117"/>
        <v>3.6624543660610658</v>
      </c>
      <c r="N139" s="112">
        <v>11.064</v>
      </c>
      <c r="O139" s="112">
        <f t="shared" si="118"/>
        <v>1.4715120000000002</v>
      </c>
      <c r="P139" s="113">
        <f t="shared" si="119"/>
        <v>8.58839809837985E-4</v>
      </c>
      <c r="Q139" s="114">
        <f t="shared" si="120"/>
        <v>5.6253101590078334</v>
      </c>
      <c r="R139" s="109"/>
      <c r="S139" s="115">
        <f t="shared" si="121"/>
        <v>3.3142433280000003</v>
      </c>
      <c r="T139" s="116">
        <f t="shared" si="112"/>
        <v>2.2601541412800001</v>
      </c>
      <c r="U139" s="116">
        <f t="shared" si="122"/>
        <v>5.0912689727832916E-2</v>
      </c>
      <c r="V139" s="116">
        <f t="shared" si="123"/>
        <v>5.6253101590078334</v>
      </c>
      <c r="W139" s="116"/>
      <c r="X139" s="117">
        <f t="shared" si="124"/>
        <v>0.58916632760113474</v>
      </c>
      <c r="Y139" s="117">
        <f t="shared" si="125"/>
        <v>0.40178302660535181</v>
      </c>
      <c r="Z139" s="117">
        <f>U139/V139</f>
        <v>9.0506457935134836E-3</v>
      </c>
      <c r="AC139" s="118"/>
      <c r="AD139" s="118"/>
      <c r="AE139" s="118"/>
      <c r="AF139" s="118"/>
    </row>
    <row r="140" spans="1:33" x14ac:dyDescent="0.3">
      <c r="A140" s="122" t="s">
        <v>54</v>
      </c>
      <c r="B140" s="109"/>
      <c r="C140" s="120">
        <v>0.88</v>
      </c>
      <c r="D140" s="109">
        <f t="shared" ref="D140:D144" si="127">C140*$B$4</f>
        <v>0.3256</v>
      </c>
      <c r="E140" s="109">
        <f t="shared" ref="E140:E144" si="128">(-2.85*C140+3.6)*((1-C140)*3.9*$B$8^(-1.2))</f>
        <v>6.4435625252849373</v>
      </c>
      <c r="F140" s="123"/>
      <c r="G140" s="66">
        <v>0.122</v>
      </c>
      <c r="H140" s="111">
        <v>6.9984199600227391E-5</v>
      </c>
      <c r="I140" s="87">
        <f t="shared" si="113"/>
        <v>80533</v>
      </c>
      <c r="J140" s="87">
        <f t="shared" si="114"/>
        <v>9825.0259999999998</v>
      </c>
      <c r="K140" s="87">
        <f t="shared" si="115"/>
        <v>5.6360375464051121E-3</v>
      </c>
      <c r="L140" s="87">
        <f t="shared" si="116"/>
        <v>39.247882517939104</v>
      </c>
      <c r="M140" s="87">
        <f t="shared" si="117"/>
        <v>25.55300501187488</v>
      </c>
      <c r="N140" s="112">
        <v>80.533000000000001</v>
      </c>
      <c r="O140" s="112">
        <f t="shared" si="118"/>
        <v>9.8250259999999994</v>
      </c>
      <c r="P140" s="113">
        <f t="shared" si="119"/>
        <v>5.636037546404765E-4</v>
      </c>
      <c r="Q140" s="114">
        <f t="shared" si="120"/>
        <v>39.247882517939104</v>
      </c>
      <c r="R140" s="109"/>
      <c r="S140" s="115">
        <f t="shared" si="121"/>
        <v>24.123821216</v>
      </c>
      <c r="T140" s="116">
        <f t="shared" si="112"/>
        <v>15.090650434440001</v>
      </c>
      <c r="U140" s="116">
        <f t="shared" si="122"/>
        <v>3.3410867499103603E-2</v>
      </c>
      <c r="V140" s="116">
        <f t="shared" si="123"/>
        <v>39.247882517939104</v>
      </c>
      <c r="W140" s="116"/>
      <c r="X140" s="117">
        <f t="shared" si="124"/>
        <v>0.61465280846613013</v>
      </c>
      <c r="Y140" s="117">
        <f t="shared" si="125"/>
        <v>0.38449591331564165</v>
      </c>
      <c r="Z140" s="117">
        <f t="shared" si="126"/>
        <v>8.5127821822826837E-4</v>
      </c>
      <c r="AC140" s="118"/>
      <c r="AD140" s="118"/>
      <c r="AE140" s="118"/>
      <c r="AF140" s="118"/>
    </row>
    <row r="141" spans="1:33" x14ac:dyDescent="0.3">
      <c r="A141" s="122" t="s">
        <v>55</v>
      </c>
      <c r="B141" s="109"/>
      <c r="C141" s="120">
        <v>0.88</v>
      </c>
      <c r="D141" s="109">
        <f t="shared" si="127"/>
        <v>0.3256</v>
      </c>
      <c r="E141" s="109">
        <f t="shared" si="128"/>
        <v>6.4435625252849373</v>
      </c>
      <c r="F141" s="122"/>
      <c r="G141" s="66">
        <v>0.19400000000000001</v>
      </c>
      <c r="H141" s="111">
        <v>1.0543868963912584E-3</v>
      </c>
      <c r="I141" s="87">
        <f t="shared" si="113"/>
        <v>3657</v>
      </c>
      <c r="J141" s="87">
        <f t="shared" si="114"/>
        <v>709.45799999999997</v>
      </c>
      <c r="K141" s="87">
        <f t="shared" si="115"/>
        <v>3.8558928801028318E-3</v>
      </c>
      <c r="L141" s="87">
        <f t="shared" si="116"/>
        <v>2.2080046164346441</v>
      </c>
      <c r="M141" s="87">
        <f t="shared" si="117"/>
        <v>1.4375591601459978</v>
      </c>
      <c r="N141" s="112">
        <v>3.657</v>
      </c>
      <c r="O141" s="112">
        <f t="shared" si="118"/>
        <v>0.70945800000000003</v>
      </c>
      <c r="P141" s="113">
        <f t="shared" si="119"/>
        <v>3.8558928801027875E-4</v>
      </c>
      <c r="Q141" s="114">
        <f t="shared" si="120"/>
        <v>2.2080046164346441</v>
      </c>
      <c r="R141" s="109"/>
      <c r="S141" s="115">
        <f t="shared" si="121"/>
        <v>1.0954616640000001</v>
      </c>
      <c r="T141" s="116">
        <f t="shared" si="112"/>
        <v>1.0896849205200001</v>
      </c>
      <c r="U141" s="116">
        <f t="shared" si="122"/>
        <v>2.2858031914643865E-2</v>
      </c>
      <c r="V141" s="116">
        <f t="shared" si="123"/>
        <v>2.2080046164346441</v>
      </c>
      <c r="W141" s="116"/>
      <c r="X141" s="117">
        <f t="shared" si="124"/>
        <v>0.49613196269892185</v>
      </c>
      <c r="Y141" s="117">
        <f t="shared" si="125"/>
        <v>0.49351568941896473</v>
      </c>
      <c r="Z141" s="117">
        <f t="shared" si="126"/>
        <v>1.0352347882113431E-2</v>
      </c>
      <c r="AC141" s="118"/>
      <c r="AD141" s="118"/>
      <c r="AE141" s="118"/>
      <c r="AF141" s="118"/>
    </row>
    <row r="142" spans="1:33" x14ac:dyDescent="0.3">
      <c r="A142" s="124" t="s">
        <v>56</v>
      </c>
      <c r="B142" s="109"/>
      <c r="C142" s="120">
        <v>0.88</v>
      </c>
      <c r="D142" s="109">
        <f t="shared" si="127"/>
        <v>0.3256</v>
      </c>
      <c r="E142" s="109">
        <f t="shared" si="128"/>
        <v>6.4435625252849373</v>
      </c>
      <c r="F142" s="122"/>
      <c r="G142" s="66">
        <v>0.36799999999999999</v>
      </c>
      <c r="H142" s="111">
        <v>4.4668359215096279E-3</v>
      </c>
      <c r="I142" s="87">
        <f t="shared" si="113"/>
        <v>1128</v>
      </c>
      <c r="J142" s="87">
        <f t="shared" si="114"/>
        <v>415.10399999999998</v>
      </c>
      <c r="K142" s="87">
        <f t="shared" si="115"/>
        <v>5.0385909194628608E-3</v>
      </c>
      <c r="L142" s="87">
        <f t="shared" si="116"/>
        <v>1.0053386513385805</v>
      </c>
      <c r="M142" s="87">
        <f t="shared" si="117"/>
        <v>0.65454291921467012</v>
      </c>
      <c r="N142" s="112">
        <v>1.1279999999999999</v>
      </c>
      <c r="O142" s="112">
        <f t="shared" si="118"/>
        <v>0.41510399999999997</v>
      </c>
      <c r="P142" s="113">
        <f t="shared" si="119"/>
        <v>5.0385909194628473E-4</v>
      </c>
      <c r="Q142" s="114">
        <f t="shared" si="120"/>
        <v>1.0053386513385802</v>
      </c>
      <c r="R142" s="109"/>
      <c r="S142" s="115">
        <f t="shared" si="121"/>
        <v>0.33789465599999996</v>
      </c>
      <c r="T142" s="116">
        <f t="shared" si="112"/>
        <v>0.63757483776000001</v>
      </c>
      <c r="U142" s="116">
        <f t="shared" si="122"/>
        <v>2.9869157578580437E-2</v>
      </c>
      <c r="V142" s="116">
        <f t="shared" si="123"/>
        <v>1.0053386513385802</v>
      </c>
      <c r="W142" s="116"/>
      <c r="X142" s="117">
        <f t="shared" si="124"/>
        <v>0.33610033350463814</v>
      </c>
      <c r="Y142" s="117">
        <f t="shared" si="125"/>
        <v>0.63418912314878872</v>
      </c>
      <c r="Z142" s="117">
        <f t="shared" si="126"/>
        <v>2.9710543346573307E-2</v>
      </c>
      <c r="AC142" s="118"/>
      <c r="AD142" s="118"/>
      <c r="AE142" s="118"/>
      <c r="AF142" s="118"/>
    </row>
    <row r="143" spans="1:33" x14ac:dyDescent="0.3">
      <c r="A143" s="124" t="s">
        <v>58</v>
      </c>
      <c r="B143" s="109"/>
      <c r="C143" s="120">
        <v>0.88</v>
      </c>
      <c r="D143" s="109">
        <f t="shared" si="127"/>
        <v>0.3256</v>
      </c>
      <c r="E143" s="109">
        <f t="shared" si="128"/>
        <v>6.4435625252849373</v>
      </c>
      <c r="F143" s="109"/>
      <c r="G143" s="66">
        <v>0.22</v>
      </c>
      <c r="H143" s="111">
        <v>1.5205475297324944E-2</v>
      </c>
      <c r="I143" s="87">
        <f t="shared" si="113"/>
        <v>604</v>
      </c>
      <c r="J143" s="87">
        <f t="shared" si="114"/>
        <v>132.88</v>
      </c>
      <c r="K143" s="87">
        <f t="shared" si="115"/>
        <v>9.1841070795842649E-3</v>
      </c>
      <c r="L143" s="87">
        <f t="shared" si="116"/>
        <v>0.43946921394971622</v>
      </c>
      <c r="M143" s="87">
        <f t="shared" si="117"/>
        <v>0.28612394621516218</v>
      </c>
      <c r="N143" s="112">
        <v>0.60399999999999998</v>
      </c>
      <c r="O143" s="112">
        <f t="shared" si="118"/>
        <v>0.13288</v>
      </c>
      <c r="P143" s="113">
        <f t="shared" si="119"/>
        <v>9.1841070795842749E-4</v>
      </c>
      <c r="Q143" s="114">
        <f t="shared" si="120"/>
        <v>0.43946921394971622</v>
      </c>
      <c r="R143" s="109"/>
      <c r="S143" s="115">
        <f t="shared" si="121"/>
        <v>0.18092940799999999</v>
      </c>
      <c r="T143" s="116">
        <f t="shared" si="112"/>
        <v>0.2040957072</v>
      </c>
      <c r="U143" s="116">
        <f t="shared" si="122"/>
        <v>5.4444098749716251E-2</v>
      </c>
      <c r="V143" s="116">
        <f t="shared" si="123"/>
        <v>0.43946921394971622</v>
      </c>
      <c r="W143" s="116"/>
      <c r="X143" s="117">
        <f t="shared" si="124"/>
        <v>0.41169984667163012</v>
      </c>
      <c r="Y143" s="117">
        <f t="shared" si="125"/>
        <v>0.46441411757992335</v>
      </c>
      <c r="Z143" s="117">
        <f t="shared" si="126"/>
        <v>0.12388603574844656</v>
      </c>
      <c r="AC143" s="118"/>
      <c r="AD143" s="118"/>
      <c r="AE143" s="118"/>
      <c r="AF143" s="118"/>
    </row>
    <row r="144" spans="1:33" x14ac:dyDescent="0.3">
      <c r="A144" s="124" t="s">
        <v>57</v>
      </c>
      <c r="B144" s="109"/>
      <c r="C144" s="120">
        <v>0.88</v>
      </c>
      <c r="D144" s="109">
        <f t="shared" si="127"/>
        <v>0.3256</v>
      </c>
      <c r="E144" s="109">
        <f t="shared" si="128"/>
        <v>6.4435625252849373</v>
      </c>
      <c r="F144" s="109"/>
      <c r="G144" s="66">
        <v>0.24199999999999999</v>
      </c>
      <c r="H144" s="111">
        <v>4.4668359215096279E-3</v>
      </c>
      <c r="I144" s="87">
        <f t="shared" si="113"/>
        <v>175</v>
      </c>
      <c r="J144" s="87">
        <f t="shared" si="114"/>
        <v>42.35</v>
      </c>
      <c r="K144" s="87">
        <f t="shared" si="115"/>
        <v>7.816962862641849E-4</v>
      </c>
      <c r="L144" s="87">
        <f t="shared" si="116"/>
        <v>0.12210261518462021</v>
      </c>
      <c r="M144" s="87">
        <f t="shared" si="117"/>
        <v>7.9496995445538371E-2</v>
      </c>
      <c r="N144" s="112">
        <v>0.17499999999999999</v>
      </c>
      <c r="O144" s="112">
        <f t="shared" si="118"/>
        <v>4.2349999999999999E-2</v>
      </c>
      <c r="P144" s="113">
        <f t="shared" si="119"/>
        <v>7.816962862641846E-5</v>
      </c>
      <c r="Q144" s="114">
        <f t="shared" si="120"/>
        <v>0.12210261518462021</v>
      </c>
      <c r="R144" s="109"/>
      <c r="S144" s="115">
        <f t="shared" si="121"/>
        <v>5.2421599999999999E-2</v>
      </c>
      <c r="T144" s="116">
        <f t="shared" si="112"/>
        <v>6.5047059000000004E-2</v>
      </c>
      <c r="U144" s="116">
        <f t="shared" si="122"/>
        <v>4.6339561846202018E-3</v>
      </c>
      <c r="V144" s="116">
        <f t="shared" ref="V144" si="129">SUM(S144:U144)</f>
        <v>0.12210261518462021</v>
      </c>
      <c r="W144" s="116"/>
      <c r="X144" s="117">
        <f t="shared" si="124"/>
        <v>0.42932413790431995</v>
      </c>
      <c r="Y144" s="117">
        <f t="shared" si="125"/>
        <v>0.53272453584755974</v>
      </c>
      <c r="Z144" s="117">
        <f t="shared" si="126"/>
        <v>3.795132624812024E-2</v>
      </c>
      <c r="AC144" s="118"/>
      <c r="AD144" s="118"/>
      <c r="AE144" s="118"/>
      <c r="AF144" s="118"/>
    </row>
    <row r="147" spans="1:2" ht="18" x14ac:dyDescent="0.35">
      <c r="A147" s="70" t="s">
        <v>92</v>
      </c>
    </row>
    <row r="148" spans="1:2" ht="21" x14ac:dyDescent="0.4">
      <c r="A148" s="71" t="s">
        <v>144</v>
      </c>
    </row>
    <row r="149" spans="1:2" x14ac:dyDescent="0.3">
      <c r="A149" s="30" t="s">
        <v>103</v>
      </c>
      <c r="B149" s="77" t="s">
        <v>104</v>
      </c>
    </row>
    <row r="150" spans="1:2" x14ac:dyDescent="0.3">
      <c r="A150" t="s">
        <v>105</v>
      </c>
      <c r="B150">
        <v>0.37</v>
      </c>
    </row>
    <row r="151" spans="1:2" x14ac:dyDescent="0.3">
      <c r="A151" t="s">
        <v>106</v>
      </c>
      <c r="B151">
        <f>2.65*(1-B150)</f>
        <v>1.6695</v>
      </c>
    </row>
    <row r="152" spans="1:2" x14ac:dyDescent="0.3">
      <c r="A152" t="s">
        <v>107</v>
      </c>
      <c r="B152">
        <v>0.88</v>
      </c>
    </row>
    <row r="153" spans="1:2" x14ac:dyDescent="0.3">
      <c r="A153" t="s">
        <v>108</v>
      </c>
      <c r="B153">
        <f>B150*B152</f>
        <v>0.3256</v>
      </c>
    </row>
    <row r="154" spans="1:2" x14ac:dyDescent="0.3">
      <c r="A154" t="s">
        <v>109</v>
      </c>
      <c r="B154">
        <v>0.121</v>
      </c>
    </row>
    <row r="155" spans="1:2" x14ac:dyDescent="0.3">
      <c r="A155" s="87"/>
      <c r="B155" s="87"/>
    </row>
    <row r="156" spans="1:2" x14ac:dyDescent="0.3">
      <c r="A156" s="87"/>
      <c r="B156" s="87"/>
    </row>
    <row r="157" spans="1:2" ht="16.2" x14ac:dyDescent="0.3">
      <c r="A157" t="s">
        <v>110</v>
      </c>
      <c r="B157">
        <f>(-2.85*B152+3.6)*((1-B152)*3.9*B154^(-1.2))</f>
        <v>6.4435625252849373</v>
      </c>
    </row>
    <row r="158" spans="1:2" x14ac:dyDescent="0.3">
      <c r="A158" s="87"/>
      <c r="B158" s="87"/>
    </row>
    <row r="159" spans="1:2" x14ac:dyDescent="0.3">
      <c r="A159" t="s">
        <v>111</v>
      </c>
      <c r="B159">
        <f>B151*B160</f>
        <v>1.3356000000000001</v>
      </c>
    </row>
    <row r="160" spans="1:2" x14ac:dyDescent="0.3">
      <c r="A160" t="s">
        <v>145</v>
      </c>
      <c r="B160">
        <v>0.8</v>
      </c>
    </row>
    <row r="162" spans="1:26" x14ac:dyDescent="0.3">
      <c r="C162" s="96"/>
      <c r="D162" s="96"/>
      <c r="E162" s="97"/>
      <c r="F162" s="189"/>
      <c r="G162" s="189"/>
      <c r="N162" s="190" t="s">
        <v>114</v>
      </c>
      <c r="O162" s="190"/>
      <c r="P162" s="190"/>
      <c r="Q162" s="100"/>
      <c r="S162" s="191" t="s">
        <v>115</v>
      </c>
      <c r="T162" s="191"/>
      <c r="U162" s="191"/>
      <c r="V162" s="191"/>
      <c r="X162" t="s">
        <v>116</v>
      </c>
    </row>
    <row r="163" spans="1:26" ht="28.8" x14ac:dyDescent="0.3">
      <c r="C163" s="101" t="s">
        <v>117</v>
      </c>
      <c r="D163" s="102" t="s">
        <v>118</v>
      </c>
      <c r="E163" s="102" t="s">
        <v>119</v>
      </c>
      <c r="F163" s="101"/>
      <c r="G163" s="103" t="s">
        <v>120</v>
      </c>
      <c r="H163" s="102" t="s">
        <v>121</v>
      </c>
      <c r="I163" s="104" t="s">
        <v>122</v>
      </c>
      <c r="J163" s="104" t="s">
        <v>123</v>
      </c>
      <c r="K163" s="105" t="s">
        <v>124</v>
      </c>
      <c r="L163" s="104" t="s">
        <v>125</v>
      </c>
      <c r="M163" s="106" t="s">
        <v>126</v>
      </c>
      <c r="N163" s="107" t="s">
        <v>127</v>
      </c>
      <c r="O163" s="98" t="s">
        <v>128</v>
      </c>
      <c r="P163" s="98" t="s">
        <v>129</v>
      </c>
      <c r="Q163" s="102" t="s">
        <v>130</v>
      </c>
      <c r="S163" s="102" t="s">
        <v>131</v>
      </c>
      <c r="T163" s="98" t="s">
        <v>132</v>
      </c>
      <c r="U163" s="98" t="s">
        <v>133</v>
      </c>
      <c r="V163" s="102" t="s">
        <v>134</v>
      </c>
      <c r="X163" s="102" t="s">
        <v>131</v>
      </c>
      <c r="Y163" s="98" t="s">
        <v>132</v>
      </c>
      <c r="Z163" s="98" t="s">
        <v>133</v>
      </c>
    </row>
    <row r="164" spans="1:26" x14ac:dyDescent="0.3">
      <c r="A164" s="19" t="s">
        <v>135</v>
      </c>
      <c r="B164" s="98"/>
      <c r="C164" s="101" t="s">
        <v>136</v>
      </c>
      <c r="D164" t="s">
        <v>136</v>
      </c>
      <c r="E164" t="s">
        <v>137</v>
      </c>
      <c r="F164" s="101"/>
      <c r="G164" s="103" t="s">
        <v>88</v>
      </c>
      <c r="H164" s="102" t="s">
        <v>12</v>
      </c>
      <c r="I164" s="87"/>
      <c r="J164" s="87"/>
      <c r="K164" s="87"/>
      <c r="L164" s="87"/>
      <c r="M164" s="87" t="s">
        <v>138</v>
      </c>
      <c r="N164" s="102" t="s">
        <v>139</v>
      </c>
      <c r="O164" s="99" t="s">
        <v>140</v>
      </c>
      <c r="P164" s="99" t="s">
        <v>141</v>
      </c>
      <c r="Q164" s="99" t="s">
        <v>142</v>
      </c>
      <c r="S164" s="99" t="s">
        <v>143</v>
      </c>
      <c r="T164" s="99" t="s">
        <v>143</v>
      </c>
      <c r="U164" s="99" t="s">
        <v>142</v>
      </c>
      <c r="V164" s="102" t="s">
        <v>142</v>
      </c>
      <c r="X164" s="102"/>
      <c r="Y164" s="98"/>
      <c r="Z164" s="98"/>
    </row>
    <row r="165" spans="1:26" x14ac:dyDescent="0.3">
      <c r="A165" s="108" t="s">
        <v>49</v>
      </c>
      <c r="B165" s="109"/>
      <c r="C165" s="109">
        <v>0.88</v>
      </c>
      <c r="D165" s="109">
        <f>C165*$B$4</f>
        <v>0.3256</v>
      </c>
      <c r="E165" s="109">
        <f>(-2.85*C165+3.6)*((1-C165)*3.9*$B$8^(-1.2))</f>
        <v>6.4435625252849373</v>
      </c>
      <c r="F165" s="110"/>
      <c r="G165" s="66">
        <v>8.0000000000000002E-3</v>
      </c>
      <c r="H165" s="111">
        <v>9.506047936562795E-5</v>
      </c>
      <c r="I165" s="87">
        <f>N165*1000</f>
        <v>12811</v>
      </c>
      <c r="J165" s="87">
        <f>G165*I165</f>
        <v>102.488</v>
      </c>
      <c r="K165" s="87">
        <f>(I165*H165)/1000</f>
        <v>1.2178198011530597E-3</v>
      </c>
      <c r="L165" s="87">
        <f>(I165*$B$43*$B$36+$B$34*$B$43*J165+$B$43*$B$40*K165*1000)/1000</f>
        <v>3.4801699312266083</v>
      </c>
      <c r="M165" s="87">
        <f>L165/$B$42</f>
        <v>2.605697762224175</v>
      </c>
      <c r="N165" s="112">
        <v>12.811</v>
      </c>
      <c r="O165" s="112">
        <f>N165*G165</f>
        <v>0.102488</v>
      </c>
      <c r="P165" s="113">
        <f>(L165-N165*D165*$B$43-O165*$B$42)/(E165*$B$43*1000)*100</f>
        <v>1.2178198011531176E-4</v>
      </c>
      <c r="Q165" s="114">
        <f>N165*D165*$B$43+O165*$B$42+P165/100*E165*$B$43*1000</f>
        <v>3.4801699312266083</v>
      </c>
      <c r="R165" s="109"/>
      <c r="S165" s="115">
        <f>N165*D165*$B$43</f>
        <v>3.3370092800000002</v>
      </c>
      <c r="T165" s="116">
        <f>O165*$B$42</f>
        <v>0.1368829728</v>
      </c>
      <c r="U165" s="116">
        <f>P165/100*E165*$B$43*1000</f>
        <v>6.2776784266081465E-3</v>
      </c>
      <c r="V165" s="116">
        <f>SUM(S165:U165)</f>
        <v>3.4801699312266083</v>
      </c>
      <c r="W165" s="116"/>
      <c r="X165" s="117">
        <f>S165/V165</f>
        <v>0.95886389054107191</v>
      </c>
      <c r="Y165" s="117">
        <f>T165/V165</f>
        <v>3.9332266959663867E-2</v>
      </c>
      <c r="Z165" s="117">
        <f>U165/V165</f>
        <v>1.8038424992642638E-3</v>
      </c>
    </row>
    <row r="166" spans="1:26" x14ac:dyDescent="0.3">
      <c r="A166" s="108" t="s">
        <v>50</v>
      </c>
      <c r="B166" s="119"/>
      <c r="C166" s="120">
        <v>0.88</v>
      </c>
      <c r="D166" s="109">
        <f>C166*$B$4</f>
        <v>0.3256</v>
      </c>
      <c r="E166" s="109">
        <f>(-2.85*C166+3.6)*((1-C166)*3.9*$B$8^(-1.2))</f>
        <v>6.4435625252849373</v>
      </c>
      <c r="F166" s="110"/>
      <c r="G166" s="66">
        <v>0.16600000000000001</v>
      </c>
      <c r="H166" s="111">
        <v>2.5292979964461428E-3</v>
      </c>
      <c r="I166" s="87">
        <f t="shared" ref="I166:I174" si="130">N166*1000</f>
        <v>1601</v>
      </c>
      <c r="J166" s="87">
        <f t="shared" ref="J166:J174" si="131">G166*I166</f>
        <v>265.76600000000002</v>
      </c>
      <c r="K166" s="87">
        <f t="shared" ref="K166:K174" si="132">(I166*H166)/1000</f>
        <v>4.0494060923102742E-3</v>
      </c>
      <c r="L166" s="87">
        <f t="shared" ref="L166:L174" si="133">(I166*$B$43*$B$36+$B$34*$B$43*J166+$B$43*$B$40*K166*1000)/1000</f>
        <v>0.79285963067685694</v>
      </c>
      <c r="M166" s="87">
        <f t="shared" ref="M166:M174" si="134">L166/$B$42</f>
        <v>0.59363554258524776</v>
      </c>
      <c r="N166" s="112">
        <v>1.601</v>
      </c>
      <c r="O166" s="112">
        <f t="shared" ref="O166:O174" si="135">N166*G166</f>
        <v>0.265766</v>
      </c>
      <c r="P166" s="113">
        <f t="shared" ref="P166:P174" si="136">(L166-N166*D166*$B$43-O166*$B$42)/(E166*$B$43*1000)*100</f>
        <v>4.049406092310293E-4</v>
      </c>
      <c r="Q166" s="114">
        <f t="shared" ref="Q166:Q174" si="137">N166*D166*$B$43+O166*$B$42+P166/100*E166*$B$43*1000</f>
        <v>0.79285963067685694</v>
      </c>
      <c r="R166" s="109"/>
      <c r="S166" s="115">
        <f t="shared" ref="S166:S174" si="138">N166*D166*$B$43</f>
        <v>0.41702848000000003</v>
      </c>
      <c r="T166" s="116">
        <f t="shared" ref="T166:T174" si="139">O166*$B$42</f>
        <v>0.35495706960000001</v>
      </c>
      <c r="U166" s="116">
        <f t="shared" ref="U166:U174" si="140">P166/100*E166*$B$43*1000</f>
        <v>2.0874081076856899E-2</v>
      </c>
      <c r="V166" s="116">
        <f t="shared" ref="V166:V173" si="141">SUM(S166:U166)</f>
        <v>0.79285963067685694</v>
      </c>
      <c r="W166" s="116"/>
      <c r="X166" s="117">
        <f t="shared" ref="X166:X174" si="142">S166/V166</f>
        <v>0.52598021625087243</v>
      </c>
      <c r="Y166" s="117">
        <f t="shared" ref="Y166:Y174" si="143">T166/V166</f>
        <v>0.44769219653291775</v>
      </c>
      <c r="Z166" s="117">
        <f t="shared" ref="Z166" si="144">U166/V166</f>
        <v>2.6327587216209872E-2</v>
      </c>
    </row>
    <row r="167" spans="1:26" x14ac:dyDescent="0.3">
      <c r="A167" s="108" t="s">
        <v>51</v>
      </c>
      <c r="B167" s="119"/>
      <c r="C167" s="120">
        <v>0.88</v>
      </c>
      <c r="D167" s="109">
        <f>C167*$B$4</f>
        <v>0.3256</v>
      </c>
      <c r="E167" s="109">
        <f>(-2.85*C167+3.6)*((1-C167)*3.9*$B$8^(-1.2))</f>
        <v>6.4435625252849373</v>
      </c>
      <c r="F167" s="110"/>
      <c r="G167" s="66">
        <v>0.22</v>
      </c>
      <c r="H167" s="111">
        <v>1.1694993910198723E-2</v>
      </c>
      <c r="I167" s="87">
        <f t="shared" si="130"/>
        <v>28</v>
      </c>
      <c r="J167" s="87">
        <f t="shared" si="131"/>
        <v>6.16</v>
      </c>
      <c r="K167" s="87">
        <f t="shared" si="132"/>
        <v>3.2745982948556422E-4</v>
      </c>
      <c r="L167" s="87">
        <f t="shared" si="133"/>
        <v>1.7208742308647506E-2</v>
      </c>
      <c r="M167" s="87">
        <f t="shared" si="134"/>
        <v>1.2884652821688757E-2</v>
      </c>
      <c r="N167" s="112">
        <v>2.8000000000000001E-2</v>
      </c>
      <c r="O167" s="112">
        <f t="shared" si="135"/>
        <v>6.1600000000000005E-3</v>
      </c>
      <c r="P167" s="113">
        <f t="shared" si="136"/>
        <v>3.2745982948556458E-5</v>
      </c>
      <c r="Q167" s="114">
        <f t="shared" si="137"/>
        <v>1.7208742308647506E-2</v>
      </c>
      <c r="R167" s="109"/>
      <c r="S167" s="115">
        <f t="shared" si="138"/>
        <v>7.29344E-3</v>
      </c>
      <c r="T167" s="116">
        <f t="shared" si="139"/>
        <v>8.227296000000002E-3</v>
      </c>
      <c r="U167" s="116">
        <f t="shared" si="140"/>
        <v>1.6880063086475035E-3</v>
      </c>
      <c r="V167" s="116">
        <f t="shared" si="141"/>
        <v>1.7208742308647506E-2</v>
      </c>
      <c r="W167" s="116"/>
      <c r="X167" s="117">
        <f t="shared" si="142"/>
        <v>0.42382179180723734</v>
      </c>
      <c r="Y167" s="117">
        <f t="shared" si="143"/>
        <v>0.47808816312309654</v>
      </c>
      <c r="Z167" s="117">
        <f>U167/V167</f>
        <v>9.8090045069666093E-2</v>
      </c>
    </row>
    <row r="168" spans="1:26" x14ac:dyDescent="0.3">
      <c r="A168" s="121" t="s">
        <v>52</v>
      </c>
      <c r="B168" s="109"/>
      <c r="C168" s="120">
        <v>0.88</v>
      </c>
      <c r="D168" s="109">
        <f>C168*$B$4</f>
        <v>0.3256</v>
      </c>
      <c r="E168" s="109">
        <f>(-2.85*C168+3.6)*((1-C168)*3.9*$B$8^(-1.2))</f>
        <v>6.4435625252849373</v>
      </c>
      <c r="F168" s="110"/>
      <c r="G168" s="66">
        <v>0.11799999999999999</v>
      </c>
      <c r="H168" s="111">
        <v>2.2803420720004172E-4</v>
      </c>
      <c r="I168" s="87">
        <f t="shared" si="130"/>
        <v>18262</v>
      </c>
      <c r="J168" s="87">
        <f t="shared" si="131"/>
        <v>2154.9159999999997</v>
      </c>
      <c r="K168" s="87">
        <f t="shared" si="132"/>
        <v>4.1643606918871619E-3</v>
      </c>
      <c r="L168" s="87">
        <f t="shared" si="133"/>
        <v>7.6564582243968111</v>
      </c>
      <c r="M168" s="87">
        <f t="shared" si="134"/>
        <v>5.7325982512704483</v>
      </c>
      <c r="N168" s="112">
        <v>18.262</v>
      </c>
      <c r="O168" s="112">
        <f t="shared" si="135"/>
        <v>2.1549160000000001</v>
      </c>
      <c r="P168" s="113">
        <f t="shared" si="136"/>
        <v>4.1643606918870257E-4</v>
      </c>
      <c r="Q168" s="114">
        <f t="shared" si="137"/>
        <v>7.6564582243968111</v>
      </c>
      <c r="R168" s="109"/>
      <c r="S168" s="115">
        <f t="shared" si="138"/>
        <v>4.7568857600000003</v>
      </c>
      <c r="T168" s="116">
        <f t="shared" si="139"/>
        <v>2.8781058096000005</v>
      </c>
      <c r="U168" s="116">
        <f t="shared" si="140"/>
        <v>2.1466654796810317E-2</v>
      </c>
      <c r="V168" s="116">
        <f t="shared" si="141"/>
        <v>7.6564582243968111</v>
      </c>
      <c r="W168" s="116"/>
      <c r="X168" s="117">
        <f t="shared" si="142"/>
        <v>0.62129063080922853</v>
      </c>
      <c r="Y168" s="117">
        <f t="shared" si="143"/>
        <v>0.37590563746943745</v>
      </c>
      <c r="Z168" s="117">
        <f t="shared" ref="Z168" si="145">U168/V168</f>
        <v>2.8037317213340501E-3</v>
      </c>
    </row>
    <row r="169" spans="1:26" x14ac:dyDescent="0.3">
      <c r="A169" s="122" t="s">
        <v>53</v>
      </c>
      <c r="B169" s="109"/>
      <c r="C169" s="120">
        <v>0.88</v>
      </c>
      <c r="D169" s="109">
        <f>C169*$B$4</f>
        <v>0.3256</v>
      </c>
      <c r="E169" s="109">
        <f>(-2.85*C169+3.6)*((1-C169)*3.9*$B$8^(-1.2))</f>
        <v>6.4435625252849373</v>
      </c>
      <c r="F169" s="123"/>
      <c r="G169" s="66">
        <v>0.13300000000000001</v>
      </c>
      <c r="H169" s="111">
        <v>7.7624711662869063E-4</v>
      </c>
      <c r="I169" s="87">
        <f t="shared" si="130"/>
        <v>8361</v>
      </c>
      <c r="J169" s="87">
        <f t="shared" si="131"/>
        <v>1112.0130000000001</v>
      </c>
      <c r="K169" s="87">
        <f t="shared" si="132"/>
        <v>6.4902021421324825E-3</v>
      </c>
      <c r="L169" s="87">
        <f t="shared" si="133"/>
        <v>3.6965338614436556</v>
      </c>
      <c r="M169" s="87">
        <f t="shared" si="134"/>
        <v>2.7676953140488583</v>
      </c>
      <c r="N169" s="112">
        <v>8.3610000000000007</v>
      </c>
      <c r="O169" s="112">
        <f t="shared" si="135"/>
        <v>1.1120130000000001</v>
      </c>
      <c r="P169" s="113">
        <f t="shared" si="136"/>
        <v>6.4902021421325026E-4</v>
      </c>
      <c r="Q169" s="114">
        <f t="shared" si="137"/>
        <v>3.6965338614436556</v>
      </c>
      <c r="R169" s="109"/>
      <c r="S169" s="115">
        <f t="shared" si="138"/>
        <v>2.17787328</v>
      </c>
      <c r="T169" s="116">
        <f t="shared" si="139"/>
        <v>1.4852045628000003</v>
      </c>
      <c r="U169" s="116">
        <f t="shared" si="140"/>
        <v>3.3456018643655216E-2</v>
      </c>
      <c r="V169" s="116">
        <f t="shared" si="141"/>
        <v>3.6965338614436556</v>
      </c>
      <c r="W169" s="116"/>
      <c r="X169" s="117">
        <f t="shared" si="142"/>
        <v>0.58916632760113463</v>
      </c>
      <c r="Y169" s="117">
        <f t="shared" si="143"/>
        <v>0.40178302660535187</v>
      </c>
      <c r="Z169" s="117">
        <f>U169/V169</f>
        <v>9.050645793513494E-3</v>
      </c>
    </row>
    <row r="170" spans="1:26" x14ac:dyDescent="0.3">
      <c r="A170" s="122" t="s">
        <v>54</v>
      </c>
      <c r="B170" s="109"/>
      <c r="C170" s="120">
        <v>0.88</v>
      </c>
      <c r="D170" s="109">
        <f t="shared" ref="D170:D174" si="146">C170*$B$4</f>
        <v>0.3256</v>
      </c>
      <c r="E170" s="109">
        <f t="shared" ref="E170:E174" si="147">(-2.85*C170+3.6)*((1-C170)*3.9*$B$8^(-1.2))</f>
        <v>6.4435625252849373</v>
      </c>
      <c r="F170" s="123"/>
      <c r="G170" s="66">
        <v>0.122</v>
      </c>
      <c r="H170" s="111">
        <v>6.9984199600227391E-5</v>
      </c>
      <c r="I170" s="87">
        <f t="shared" si="130"/>
        <v>28324</v>
      </c>
      <c r="J170" s="87">
        <f t="shared" si="131"/>
        <v>3455.5279999999998</v>
      </c>
      <c r="K170" s="87">
        <f t="shared" si="132"/>
        <v>1.9822324694768407E-3</v>
      </c>
      <c r="L170" s="87">
        <f t="shared" si="133"/>
        <v>12.003256827885382</v>
      </c>
      <c r="M170" s="87">
        <f t="shared" si="134"/>
        <v>8.9871644413637171</v>
      </c>
      <c r="N170" s="112">
        <v>28.324000000000002</v>
      </c>
      <c r="O170" s="112">
        <f t="shared" si="135"/>
        <v>3.4555280000000002</v>
      </c>
      <c r="P170" s="113">
        <f t="shared" si="136"/>
        <v>1.9822324694770103E-4</v>
      </c>
      <c r="Q170" s="114">
        <f t="shared" si="137"/>
        <v>12.003256827885382</v>
      </c>
      <c r="R170" s="109"/>
      <c r="S170" s="115">
        <f t="shared" si="138"/>
        <v>7.3778355200000014</v>
      </c>
      <c r="T170" s="116">
        <f t="shared" si="139"/>
        <v>4.6152031968000005</v>
      </c>
      <c r="U170" s="116">
        <f t="shared" si="140"/>
        <v>1.0218111085380068E-2</v>
      </c>
      <c r="V170" s="116">
        <f t="shared" si="141"/>
        <v>12.003256827885382</v>
      </c>
      <c r="W170" s="116"/>
      <c r="X170" s="117">
        <f t="shared" si="142"/>
        <v>0.61465280846613002</v>
      </c>
      <c r="Y170" s="117">
        <f t="shared" si="143"/>
        <v>0.38449591331564154</v>
      </c>
      <c r="Z170" s="117">
        <f t="shared" ref="Z170:Z174" si="148">U170/V170</f>
        <v>8.512782182283936E-4</v>
      </c>
    </row>
    <row r="171" spans="1:26" x14ac:dyDescent="0.3">
      <c r="A171" s="122" t="s">
        <v>55</v>
      </c>
      <c r="B171" s="109"/>
      <c r="C171" s="120">
        <v>0.88</v>
      </c>
      <c r="D171" s="109">
        <f t="shared" si="146"/>
        <v>0.3256</v>
      </c>
      <c r="E171" s="109">
        <f t="shared" si="147"/>
        <v>6.4435625252849373</v>
      </c>
      <c r="F171" s="122"/>
      <c r="G171" s="66">
        <v>0.19400000000000001</v>
      </c>
      <c r="H171" s="111">
        <v>1.0543868963912584E-3</v>
      </c>
      <c r="I171" s="87">
        <f t="shared" si="130"/>
        <v>3605</v>
      </c>
      <c r="J171" s="87">
        <f t="shared" si="131"/>
        <v>699.37</v>
      </c>
      <c r="K171" s="87">
        <f t="shared" si="132"/>
        <v>3.8010647614904864E-3</v>
      </c>
      <c r="L171" s="87">
        <f t="shared" si="133"/>
        <v>1.8927028907626571</v>
      </c>
      <c r="M171" s="87">
        <f t="shared" si="134"/>
        <v>1.417118067357485</v>
      </c>
      <c r="N171" s="112">
        <v>3.605</v>
      </c>
      <c r="O171" s="112">
        <f>N171*G171</f>
        <v>0.69937000000000005</v>
      </c>
      <c r="P171" s="113">
        <f t="shared" si="136"/>
        <v>3.8010647614904755E-4</v>
      </c>
      <c r="Q171" s="114">
        <f t="shared" si="137"/>
        <v>1.8927028907626573</v>
      </c>
      <c r="R171" s="109"/>
      <c r="S171" s="115">
        <f t="shared" si="138"/>
        <v>0.93903040000000004</v>
      </c>
      <c r="T171" s="116">
        <f t="shared" si="139"/>
        <v>0.93407857200000011</v>
      </c>
      <c r="U171" s="116">
        <f t="shared" si="140"/>
        <v>1.9593918762656926E-2</v>
      </c>
      <c r="V171" s="116">
        <f t="shared" si="141"/>
        <v>1.8927028907626573</v>
      </c>
      <c r="W171" s="116"/>
      <c r="X171" s="117">
        <f t="shared" si="142"/>
        <v>0.49613196269892174</v>
      </c>
      <c r="Y171" s="117">
        <f t="shared" si="143"/>
        <v>0.49351568941896462</v>
      </c>
      <c r="Z171" s="117">
        <f t="shared" si="148"/>
        <v>1.0352347882113517E-2</v>
      </c>
    </row>
    <row r="172" spans="1:26" x14ac:dyDescent="0.3">
      <c r="A172" s="124" t="s">
        <v>56</v>
      </c>
      <c r="B172" s="109"/>
      <c r="C172" s="120">
        <v>0.88</v>
      </c>
      <c r="D172" s="109">
        <f t="shared" si="146"/>
        <v>0.3256</v>
      </c>
      <c r="E172" s="109">
        <f t="shared" si="147"/>
        <v>6.4435625252849373</v>
      </c>
      <c r="F172" s="122"/>
      <c r="G172" s="66">
        <v>0.36799999999999999</v>
      </c>
      <c r="H172" s="111">
        <v>4.4668359215096279E-3</v>
      </c>
      <c r="I172" s="87">
        <f t="shared" si="130"/>
        <v>1063</v>
      </c>
      <c r="J172" s="87">
        <f t="shared" si="131"/>
        <v>391.18399999999997</v>
      </c>
      <c r="K172" s="87">
        <f t="shared" si="132"/>
        <v>4.7482465845647345E-3</v>
      </c>
      <c r="L172" s="87">
        <f t="shared" si="133"/>
        <v>0.82383208940249086</v>
      </c>
      <c r="M172" s="87">
        <f t="shared" si="134"/>
        <v>0.61682546376347014</v>
      </c>
      <c r="N172" s="112">
        <v>1.0629999999999999</v>
      </c>
      <c r="O172" s="112">
        <f t="shared" si="135"/>
        <v>0.39118399999999998</v>
      </c>
      <c r="P172" s="113">
        <f t="shared" si="136"/>
        <v>4.7482465845647575E-4</v>
      </c>
      <c r="Q172" s="114">
        <f t="shared" si="137"/>
        <v>0.82383208940249097</v>
      </c>
      <c r="R172" s="109"/>
      <c r="S172" s="115">
        <f t="shared" si="138"/>
        <v>0.27689024000000001</v>
      </c>
      <c r="T172" s="116">
        <f t="shared" si="139"/>
        <v>0.52246535039999997</v>
      </c>
      <c r="U172" s="116">
        <f t="shared" si="140"/>
        <v>2.4476499002490937E-2</v>
      </c>
      <c r="V172" s="116">
        <f t="shared" si="141"/>
        <v>0.82383208940249097</v>
      </c>
      <c r="W172" s="116"/>
      <c r="X172" s="117">
        <f t="shared" si="142"/>
        <v>0.33610033350463803</v>
      </c>
      <c r="Y172" s="117">
        <f t="shared" si="143"/>
        <v>0.63418912314878839</v>
      </c>
      <c r="Z172" s="117">
        <f t="shared" si="148"/>
        <v>2.9710543346573515E-2</v>
      </c>
    </row>
    <row r="173" spans="1:26" x14ac:dyDescent="0.3">
      <c r="A173" s="124" t="s">
        <v>58</v>
      </c>
      <c r="B173" s="109"/>
      <c r="C173" s="120">
        <v>0.88</v>
      </c>
      <c r="D173" s="109">
        <f t="shared" si="146"/>
        <v>0.3256</v>
      </c>
      <c r="E173" s="109">
        <f t="shared" si="147"/>
        <v>6.4435625252849373</v>
      </c>
      <c r="F173" s="109"/>
      <c r="G173" s="66">
        <v>0.22</v>
      </c>
      <c r="H173" s="111">
        <v>1.5205475297324944E-2</v>
      </c>
      <c r="I173" s="87">
        <f t="shared" si="130"/>
        <v>95</v>
      </c>
      <c r="J173" s="87">
        <f t="shared" si="131"/>
        <v>20.9</v>
      </c>
      <c r="K173" s="87">
        <f t="shared" si="132"/>
        <v>1.4445201532458695E-3</v>
      </c>
      <c r="L173" s="87">
        <f t="shared" si="133"/>
        <v>6.0105924741179151E-2</v>
      </c>
      <c r="M173" s="87">
        <f t="shared" si="134"/>
        <v>4.5002938560331794E-2</v>
      </c>
      <c r="N173" s="112">
        <v>9.5000000000000001E-2</v>
      </c>
      <c r="O173" s="112">
        <f t="shared" si="135"/>
        <v>2.0900000000000002E-2</v>
      </c>
      <c r="P173" s="113">
        <f t="shared" si="136"/>
        <v>1.444520153245867E-4</v>
      </c>
      <c r="Q173" s="114">
        <f t="shared" si="137"/>
        <v>6.0105924741179151E-2</v>
      </c>
      <c r="R173" s="109"/>
      <c r="S173" s="115">
        <f t="shared" si="138"/>
        <v>2.4745600000000003E-2</v>
      </c>
      <c r="T173" s="116">
        <f t="shared" si="139"/>
        <v>2.7914040000000005E-2</v>
      </c>
      <c r="U173" s="116">
        <f t="shared" si="140"/>
        <v>7.4462847411791398E-3</v>
      </c>
      <c r="V173" s="116">
        <f t="shared" si="141"/>
        <v>6.0105924741179151E-2</v>
      </c>
      <c r="W173" s="116"/>
      <c r="X173" s="117">
        <f t="shared" si="142"/>
        <v>0.41169984667163023</v>
      </c>
      <c r="Y173" s="117">
        <f t="shared" si="143"/>
        <v>0.46441411757992346</v>
      </c>
      <c r="Z173" s="117">
        <f t="shared" si="148"/>
        <v>0.12388603574844624</v>
      </c>
    </row>
    <row r="174" spans="1:26" x14ac:dyDescent="0.3">
      <c r="A174" s="124" t="s">
        <v>57</v>
      </c>
      <c r="B174" s="109"/>
      <c r="C174" s="120">
        <v>0.88</v>
      </c>
      <c r="D174" s="109">
        <f t="shared" si="146"/>
        <v>0.3256</v>
      </c>
      <c r="E174" s="109">
        <f t="shared" si="147"/>
        <v>6.4435625252849373</v>
      </c>
      <c r="F174" s="109"/>
      <c r="G174" s="66">
        <v>0.24199999999999999</v>
      </c>
      <c r="H174" s="111">
        <v>4.4668359215096279E-3</v>
      </c>
      <c r="I174" s="87">
        <f t="shared" si="130"/>
        <v>40</v>
      </c>
      <c r="J174" s="87">
        <f t="shared" si="131"/>
        <v>9.68</v>
      </c>
      <c r="K174" s="87">
        <f t="shared" si="132"/>
        <v>1.7867343686038512E-4</v>
      </c>
      <c r="L174" s="87">
        <f t="shared" si="133"/>
        <v>2.4268842769613955E-2</v>
      </c>
      <c r="M174" s="87">
        <f t="shared" si="134"/>
        <v>1.8170741816123055E-2</v>
      </c>
      <c r="N174" s="112">
        <v>0.04</v>
      </c>
      <c r="O174" s="112">
        <f t="shared" si="135"/>
        <v>9.6799999999999994E-3</v>
      </c>
      <c r="P174" s="113">
        <f t="shared" si="136"/>
        <v>1.7867343686038478E-5</v>
      </c>
      <c r="Q174" s="114">
        <f t="shared" si="137"/>
        <v>2.4268842769613955E-2</v>
      </c>
      <c r="R174" s="109"/>
      <c r="S174" s="115">
        <f t="shared" si="138"/>
        <v>1.0419200000000002E-2</v>
      </c>
      <c r="T174" s="116">
        <f t="shared" si="139"/>
        <v>1.2928608000000001E-2</v>
      </c>
      <c r="U174" s="116">
        <f t="shared" si="140"/>
        <v>9.2103476961395182E-4</v>
      </c>
      <c r="V174" s="116">
        <f t="shared" ref="V174" si="149">SUM(S174:U174)</f>
        <v>2.4268842769613955E-2</v>
      </c>
      <c r="W174" s="116"/>
      <c r="X174" s="117">
        <f t="shared" si="142"/>
        <v>0.42932413790432006</v>
      </c>
      <c r="Y174" s="117">
        <f t="shared" si="143"/>
        <v>0.53272453584755974</v>
      </c>
      <c r="Z174" s="117">
        <f t="shared" si="148"/>
        <v>3.7951326248120185E-2</v>
      </c>
    </row>
    <row r="177" spans="1:24" ht="18" x14ac:dyDescent="0.35">
      <c r="A177" s="70" t="s">
        <v>92</v>
      </c>
    </row>
    <row r="178" spans="1:24" ht="21" x14ac:dyDescent="0.4">
      <c r="A178" s="71" t="s">
        <v>146</v>
      </c>
    </row>
    <row r="179" spans="1:24" x14ac:dyDescent="0.3">
      <c r="A179" s="30" t="s">
        <v>103</v>
      </c>
      <c r="B179" s="77" t="s">
        <v>104</v>
      </c>
    </row>
    <row r="180" spans="1:24" x14ac:dyDescent="0.3">
      <c r="A180" t="s">
        <v>105</v>
      </c>
      <c r="B180">
        <v>0.37</v>
      </c>
    </row>
    <row r="181" spans="1:24" x14ac:dyDescent="0.3">
      <c r="A181" t="s">
        <v>106</v>
      </c>
      <c r="B181">
        <f>2.65*(1-B180)</f>
        <v>1.6695</v>
      </c>
    </row>
    <row r="182" spans="1:24" x14ac:dyDescent="0.3">
      <c r="A182" t="s">
        <v>107</v>
      </c>
      <c r="B182">
        <v>0.88</v>
      </c>
    </row>
    <row r="183" spans="1:24" x14ac:dyDescent="0.3">
      <c r="A183" t="s">
        <v>108</v>
      </c>
      <c r="B183">
        <f>B180*B182</f>
        <v>0.3256</v>
      </c>
    </row>
    <row r="184" spans="1:24" x14ac:dyDescent="0.3">
      <c r="A184" t="s">
        <v>109</v>
      </c>
      <c r="B184">
        <v>0.121</v>
      </c>
    </row>
    <row r="185" spans="1:24" x14ac:dyDescent="0.3">
      <c r="A185" s="87"/>
      <c r="B185" s="87"/>
    </row>
    <row r="186" spans="1:24" x14ac:dyDescent="0.3">
      <c r="A186" s="87"/>
      <c r="B186" s="87"/>
    </row>
    <row r="187" spans="1:24" ht="16.2" x14ac:dyDescent="0.3">
      <c r="A187" t="s">
        <v>110</v>
      </c>
      <c r="B187">
        <f>(-2.85*B182+3.6)*((1-B182)*3.9*B184^(-1.2))</f>
        <v>6.4435625252849373</v>
      </c>
    </row>
    <row r="188" spans="1:24" x14ac:dyDescent="0.3">
      <c r="A188" s="87"/>
      <c r="B188" s="87"/>
    </row>
    <row r="189" spans="1:24" x14ac:dyDescent="0.3">
      <c r="A189" t="s">
        <v>111</v>
      </c>
      <c r="B189">
        <f>B181*B190</f>
        <v>1.0684800000000001</v>
      </c>
    </row>
    <row r="190" spans="1:24" x14ac:dyDescent="0.3">
      <c r="A190" t="s">
        <v>149</v>
      </c>
      <c r="B190">
        <v>0.64</v>
      </c>
    </row>
    <row r="192" spans="1:24" x14ac:dyDescent="0.3">
      <c r="C192" s="96"/>
      <c r="D192" s="96"/>
      <c r="E192" s="97"/>
      <c r="F192" s="189"/>
      <c r="G192" s="189"/>
      <c r="N192" s="190" t="s">
        <v>114</v>
      </c>
      <c r="O192" s="190"/>
      <c r="P192" s="190"/>
      <c r="Q192" s="100"/>
      <c r="S192" s="191" t="s">
        <v>115</v>
      </c>
      <c r="T192" s="191"/>
      <c r="U192" s="191"/>
      <c r="V192" s="191"/>
      <c r="X192" t="s">
        <v>116</v>
      </c>
    </row>
    <row r="193" spans="1:26" ht="28.8" x14ac:dyDescent="0.3">
      <c r="C193" s="101" t="s">
        <v>117</v>
      </c>
      <c r="D193" s="102" t="s">
        <v>118</v>
      </c>
      <c r="E193" s="102" t="s">
        <v>119</v>
      </c>
      <c r="F193" s="101"/>
      <c r="G193" s="103" t="s">
        <v>120</v>
      </c>
      <c r="H193" s="102" t="s">
        <v>121</v>
      </c>
      <c r="I193" s="104" t="s">
        <v>122</v>
      </c>
      <c r="J193" s="104" t="s">
        <v>123</v>
      </c>
      <c r="K193" s="105" t="s">
        <v>124</v>
      </c>
      <c r="L193" s="104" t="s">
        <v>125</v>
      </c>
      <c r="M193" s="106" t="s">
        <v>126</v>
      </c>
      <c r="N193" s="107" t="s">
        <v>127</v>
      </c>
      <c r="O193" s="98" t="s">
        <v>128</v>
      </c>
      <c r="P193" s="98" t="s">
        <v>129</v>
      </c>
      <c r="Q193" s="102" t="s">
        <v>130</v>
      </c>
      <c r="S193" s="102" t="s">
        <v>131</v>
      </c>
      <c r="T193" s="98" t="s">
        <v>132</v>
      </c>
      <c r="U193" s="98" t="s">
        <v>133</v>
      </c>
      <c r="V193" s="102" t="s">
        <v>134</v>
      </c>
      <c r="X193" s="102" t="s">
        <v>131</v>
      </c>
      <c r="Y193" s="98" t="s">
        <v>132</v>
      </c>
      <c r="Z193" s="98" t="s">
        <v>133</v>
      </c>
    </row>
    <row r="194" spans="1:26" x14ac:dyDescent="0.3">
      <c r="A194" s="19" t="s">
        <v>135</v>
      </c>
      <c r="B194" s="98"/>
      <c r="C194" s="101" t="s">
        <v>136</v>
      </c>
      <c r="D194" t="s">
        <v>136</v>
      </c>
      <c r="E194" t="s">
        <v>137</v>
      </c>
      <c r="F194" s="101"/>
      <c r="G194" s="103" t="s">
        <v>88</v>
      </c>
      <c r="H194" s="102" t="s">
        <v>12</v>
      </c>
      <c r="I194" s="87"/>
      <c r="J194" s="87"/>
      <c r="K194" s="87"/>
      <c r="L194" s="87"/>
      <c r="M194" s="87" t="s">
        <v>138</v>
      </c>
      <c r="N194" s="102" t="s">
        <v>139</v>
      </c>
      <c r="O194" s="99" t="s">
        <v>140</v>
      </c>
      <c r="P194" s="99" t="s">
        <v>141</v>
      </c>
      <c r="Q194" s="99" t="s">
        <v>142</v>
      </c>
      <c r="S194" s="99" t="s">
        <v>143</v>
      </c>
      <c r="T194" s="99" t="s">
        <v>143</v>
      </c>
      <c r="U194" s="99" t="s">
        <v>142</v>
      </c>
      <c r="V194" s="102" t="s">
        <v>142</v>
      </c>
      <c r="X194" s="102"/>
      <c r="Y194" s="98"/>
      <c r="Z194" s="98"/>
    </row>
    <row r="195" spans="1:26" x14ac:dyDescent="0.3">
      <c r="A195" s="108" t="s">
        <v>49</v>
      </c>
      <c r="B195" s="109"/>
      <c r="C195" s="109">
        <v>0.88</v>
      </c>
      <c r="D195" s="109">
        <f>C195*$B$4</f>
        <v>0.3256</v>
      </c>
      <c r="E195" s="109">
        <f>(-2.85*C195+3.6)*((1-C195)*3.9*$B$8^(-1.2))</f>
        <v>6.4435625252849373</v>
      </c>
      <c r="F195" s="110"/>
      <c r="G195" s="66">
        <v>8.0000000000000002E-3</v>
      </c>
      <c r="H195" s="111">
        <v>9.506047936562795E-5</v>
      </c>
      <c r="I195" s="87">
        <f>N195*1000</f>
        <v>7211</v>
      </c>
      <c r="J195" s="87">
        <f>G195*I195</f>
        <v>57.688000000000002</v>
      </c>
      <c r="K195" s="87">
        <f>(I195*H195)/1000</f>
        <v>6.8548111670554317E-4</v>
      </c>
      <c r="L195" s="87">
        <f>(I195*$B$73*$B$66+$B$64*$B$73*J195+$B$73*$B$70*K195*1000)/1000</f>
        <v>1.5671223401186525</v>
      </c>
      <c r="M195" s="87">
        <f>L195/$B$72</f>
        <v>1.4666838313479451</v>
      </c>
      <c r="N195" s="112">
        <v>7.2110000000000003</v>
      </c>
      <c r="O195" s="112">
        <f>N195*G195</f>
        <v>5.7688000000000003E-2</v>
      </c>
      <c r="P195" s="113">
        <f>(L195-N195*D195*$B$73-O195*$B$72)/(E195*$B$73*1000)*100</f>
        <v>6.8548111670554106E-5</v>
      </c>
      <c r="Q195" s="114">
        <f>N195*D195*$B$73+O195*$B$72+P195/100*E195*$B$73*1000</f>
        <v>1.5671223401186525</v>
      </c>
      <c r="R195" s="109"/>
      <c r="S195" s="115">
        <f>N195*D195*$B$73</f>
        <v>1.5026570240000001</v>
      </c>
      <c r="T195" s="116">
        <f>O195*$B$72</f>
        <v>6.1638474240000012E-2</v>
      </c>
      <c r="U195" s="116">
        <f>P195/100*E195*$B$73*1000</f>
        <v>2.8268418786523484E-3</v>
      </c>
      <c r="V195" s="116">
        <f>SUM(S195:U195)</f>
        <v>1.5671223401186525</v>
      </c>
      <c r="W195" s="116"/>
      <c r="X195" s="117">
        <f>S195/V195</f>
        <v>0.95886389054107191</v>
      </c>
      <c r="Y195" s="117">
        <f>T195/V195</f>
        <v>3.9332266959663874E-2</v>
      </c>
      <c r="Z195" s="117">
        <f>U195/V195</f>
        <v>1.8038424992641723E-3</v>
      </c>
    </row>
    <row r="196" spans="1:26" x14ac:dyDescent="0.3">
      <c r="A196" s="108" t="s">
        <v>50</v>
      </c>
      <c r="B196" s="119"/>
      <c r="C196" s="120">
        <v>0.88</v>
      </c>
      <c r="D196" s="109">
        <f>C196*$B$4</f>
        <v>0.3256</v>
      </c>
      <c r="E196" s="109">
        <f>(-2.85*C196+3.6)*((1-C196)*3.9*$B$8^(-1.2))</f>
        <v>6.4435625252849373</v>
      </c>
      <c r="F196" s="110"/>
      <c r="G196" s="66">
        <v>0.16600000000000001</v>
      </c>
      <c r="H196" s="111">
        <v>2.5292979964461428E-3</v>
      </c>
      <c r="I196" s="87">
        <f t="shared" ref="I196:I204" si="150">N196*1000</f>
        <v>4054.9999999999995</v>
      </c>
      <c r="J196" s="87">
        <f t="shared" ref="J196:J204" si="151">G196*I196</f>
        <v>673.13</v>
      </c>
      <c r="K196" s="87">
        <f t="shared" ref="K196:K204" si="152">(I196*H196)/1000</f>
        <v>1.0256303375589108E-2</v>
      </c>
      <c r="L196" s="87">
        <f t="shared" ref="L196:L204" si="153">(I196*$B$73*$B$66+$B$64*$B$73*J196+$B$73*$B$70*K196*1000)/1000</f>
        <v>1.6065188269304953</v>
      </c>
      <c r="M196" s="87">
        <f t="shared" ref="M196:M204" si="154">L196/$B$72</f>
        <v>1.5035553561418979</v>
      </c>
      <c r="N196" s="112">
        <v>4.0549999999999997</v>
      </c>
      <c r="O196" s="112">
        <f t="shared" ref="O196:O204" si="155">N196*G196</f>
        <v>0.67313000000000001</v>
      </c>
      <c r="P196" s="113">
        <f t="shared" ref="P196:P204" si="156">(L196-N196*D196*$B$73-O196*$B$72)/(E196*$B$73*1000)*100</f>
        <v>1.025630337558904E-3</v>
      </c>
      <c r="Q196" s="114">
        <f t="shared" ref="Q196:Q204" si="157">N196*D196*$B$73+O196*$B$72+P196/100*E196*$B$73*1000</f>
        <v>1.6065188269304953</v>
      </c>
      <c r="R196" s="109"/>
      <c r="S196" s="115">
        <f t="shared" ref="S196:S204" si="158">N196*D196*$B$73</f>
        <v>0.84499711999999993</v>
      </c>
      <c r="T196" s="116">
        <f t="shared" ref="T196:T204" si="159">O196*$B$72</f>
        <v>0.71922594240000004</v>
      </c>
      <c r="U196" s="116">
        <f t="shared" ref="U196:U204" si="160">P196/100*E196*$B$73*1000</f>
        <v>4.2295764530495321E-2</v>
      </c>
      <c r="V196" s="116">
        <f t="shared" ref="V196:V203" si="161">SUM(S196:U196)</f>
        <v>1.6065188269304953</v>
      </c>
      <c r="W196" s="116"/>
      <c r="X196" s="117">
        <f t="shared" ref="X196:X204" si="162">S196/V196</f>
        <v>0.52598021625087255</v>
      </c>
      <c r="Y196" s="117">
        <f t="shared" ref="Y196:Y204" si="163">T196/V196</f>
        <v>0.44769219653291792</v>
      </c>
      <c r="Z196" s="117">
        <f t="shared" ref="Z196" si="164">U196/V196</f>
        <v>2.6327587216209581E-2</v>
      </c>
    </row>
    <row r="197" spans="1:26" x14ac:dyDescent="0.3">
      <c r="A197" s="108" t="s">
        <v>51</v>
      </c>
      <c r="B197" s="119"/>
      <c r="C197" s="120">
        <v>0.88</v>
      </c>
      <c r="D197" s="109">
        <f>C197*$B$4</f>
        <v>0.3256</v>
      </c>
      <c r="E197" s="109">
        <f>(-2.85*C197+3.6)*((1-C197)*3.9*$B$8^(-1.2))</f>
        <v>6.4435625252849373</v>
      </c>
      <c r="F197" s="110"/>
      <c r="G197" s="66">
        <v>0.22</v>
      </c>
      <c r="H197" s="111">
        <v>1.1694993910198723E-2</v>
      </c>
      <c r="I197" s="87">
        <f t="shared" si="150"/>
        <v>48</v>
      </c>
      <c r="J197" s="87">
        <f t="shared" si="151"/>
        <v>10.56</v>
      </c>
      <c r="K197" s="87">
        <f t="shared" si="152"/>
        <v>5.6135970768953869E-4</v>
      </c>
      <c r="L197" s="87">
        <f t="shared" si="153"/>
        <v>2.360056088043086E-2</v>
      </c>
      <c r="M197" s="87">
        <f t="shared" si="154"/>
        <v>2.2087976265752152E-2</v>
      </c>
      <c r="N197" s="112">
        <v>4.8000000000000001E-2</v>
      </c>
      <c r="O197" s="112">
        <f t="shared" si="155"/>
        <v>1.056E-2</v>
      </c>
      <c r="P197" s="113">
        <f t="shared" si="156"/>
        <v>5.6135970768953773E-5</v>
      </c>
      <c r="Q197" s="114">
        <f t="shared" si="157"/>
        <v>2.360056088043086E-2</v>
      </c>
      <c r="R197" s="109"/>
      <c r="S197" s="115">
        <f t="shared" si="158"/>
        <v>1.0002432000000002E-2</v>
      </c>
      <c r="T197" s="116">
        <f t="shared" si="159"/>
        <v>1.1283148800000002E-2</v>
      </c>
      <c r="U197" s="116">
        <f t="shared" si="160"/>
        <v>2.3149800804308559E-3</v>
      </c>
      <c r="V197" s="116">
        <f t="shared" si="161"/>
        <v>2.360056088043086E-2</v>
      </c>
      <c r="W197" s="116"/>
      <c r="X197" s="117">
        <f t="shared" si="162"/>
        <v>0.4238217918072375</v>
      </c>
      <c r="Y197" s="117">
        <f t="shared" si="163"/>
        <v>0.4780881631230966</v>
      </c>
      <c r="Z197" s="117">
        <f>U197/V197</f>
        <v>9.8090045069665857E-2</v>
      </c>
    </row>
    <row r="198" spans="1:26" x14ac:dyDescent="0.3">
      <c r="A198" s="121" t="s">
        <v>52</v>
      </c>
      <c r="B198" s="109"/>
      <c r="C198" s="120">
        <v>0.88</v>
      </c>
      <c r="D198" s="109">
        <f>C198*$B$4</f>
        <v>0.3256</v>
      </c>
      <c r="E198" s="109">
        <f>(-2.85*C198+3.6)*((1-C198)*3.9*$B$8^(-1.2))</f>
        <v>6.4435625252849373</v>
      </c>
      <c r="F198" s="110"/>
      <c r="G198" s="66">
        <v>0.11799999999999999</v>
      </c>
      <c r="H198" s="111">
        <v>2.2803420720004172E-4</v>
      </c>
      <c r="I198" s="87">
        <f t="shared" si="150"/>
        <v>13041</v>
      </c>
      <c r="J198" s="87">
        <f t="shared" si="151"/>
        <v>1538.838</v>
      </c>
      <c r="K198" s="87">
        <f t="shared" si="152"/>
        <v>2.9737940960957439E-3</v>
      </c>
      <c r="L198" s="87">
        <f t="shared" si="153"/>
        <v>4.3740169402851299</v>
      </c>
      <c r="M198" s="87">
        <f t="shared" si="154"/>
        <v>4.093681622758619</v>
      </c>
      <c r="N198" s="112">
        <v>13.041</v>
      </c>
      <c r="O198" s="112">
        <f t="shared" si="155"/>
        <v>1.5388379999999999</v>
      </c>
      <c r="P198" s="113">
        <f t="shared" si="156"/>
        <v>2.9737940960955874E-4</v>
      </c>
      <c r="Q198" s="114">
        <f t="shared" si="157"/>
        <v>4.3740169402851299</v>
      </c>
      <c r="R198" s="109"/>
      <c r="S198" s="115">
        <f t="shared" si="158"/>
        <v>2.7175357440000001</v>
      </c>
      <c r="T198" s="116">
        <f t="shared" si="159"/>
        <v>1.6442176262400001</v>
      </c>
      <c r="U198" s="116">
        <f t="shared" si="160"/>
        <v>1.2263570045129677E-2</v>
      </c>
      <c r="V198" s="116">
        <f t="shared" si="161"/>
        <v>4.3740169402851299</v>
      </c>
      <c r="W198" s="116"/>
      <c r="X198" s="117">
        <f t="shared" si="162"/>
        <v>0.62129063080922853</v>
      </c>
      <c r="Y198" s="117">
        <f t="shared" si="163"/>
        <v>0.37590563746943745</v>
      </c>
      <c r="Z198" s="117">
        <f t="shared" ref="Z198" si="165">U198/V198</f>
        <v>2.8037317213339941E-3</v>
      </c>
    </row>
    <row r="199" spans="1:26" x14ac:dyDescent="0.3">
      <c r="A199" s="122" t="s">
        <v>53</v>
      </c>
      <c r="B199" s="109"/>
      <c r="C199" s="120">
        <v>0.88</v>
      </c>
      <c r="D199" s="109">
        <f>C199*$B$4</f>
        <v>0.3256</v>
      </c>
      <c r="E199" s="109">
        <f>(-2.85*C199+3.6)*((1-C199)*3.9*$B$8^(-1.2))</f>
        <v>6.4435625252849373</v>
      </c>
      <c r="F199" s="123"/>
      <c r="G199" s="66">
        <v>0.13300000000000001</v>
      </c>
      <c r="H199" s="111">
        <v>7.7624711662869063E-4</v>
      </c>
      <c r="I199" s="87">
        <f t="shared" si="150"/>
        <v>11901</v>
      </c>
      <c r="J199" s="87">
        <f>G199*I199</f>
        <v>1582.8330000000001</v>
      </c>
      <c r="K199" s="87">
        <f t="shared" si="152"/>
        <v>9.2381169349980471E-3</v>
      </c>
      <c r="L199" s="87">
        <f t="shared" si="153"/>
        <v>4.2093002736553951</v>
      </c>
      <c r="M199" s="87">
        <f t="shared" si="154"/>
        <v>3.9395218194588524</v>
      </c>
      <c r="N199" s="112">
        <v>11.901</v>
      </c>
      <c r="O199" s="112">
        <f t="shared" si="155"/>
        <v>1.5828330000000002</v>
      </c>
      <c r="P199" s="113">
        <f t="shared" si="156"/>
        <v>9.2381169349981538E-4</v>
      </c>
      <c r="Q199" s="114">
        <f t="shared" si="157"/>
        <v>4.2093002736553951</v>
      </c>
      <c r="R199" s="109"/>
      <c r="S199" s="115">
        <f t="shared" si="158"/>
        <v>2.479977984</v>
      </c>
      <c r="T199" s="116">
        <f t="shared" si="159"/>
        <v>1.6912254038400003</v>
      </c>
      <c r="U199" s="116">
        <f t="shared" si="160"/>
        <v>3.8096885815394721E-2</v>
      </c>
      <c r="V199" s="116">
        <f t="shared" si="161"/>
        <v>4.2093002736553951</v>
      </c>
      <c r="W199" s="116"/>
      <c r="X199" s="117">
        <f t="shared" si="162"/>
        <v>0.58916632760113463</v>
      </c>
      <c r="Y199" s="117">
        <f t="shared" si="163"/>
        <v>0.40178302660535181</v>
      </c>
      <c r="Z199" s="117">
        <f>U199/V199</f>
        <v>9.0506457935135703E-3</v>
      </c>
    </row>
    <row r="200" spans="1:26" x14ac:dyDescent="0.3">
      <c r="A200" s="122" t="s">
        <v>54</v>
      </c>
      <c r="B200" s="109"/>
      <c r="C200" s="120">
        <v>0.88</v>
      </c>
      <c r="D200" s="109">
        <f t="shared" ref="D200:D204" si="166">C200*$B$4</f>
        <v>0.3256</v>
      </c>
      <c r="E200" s="109">
        <f t="shared" ref="E200:E204" si="167">(-2.85*C200+3.6)*((1-C200)*3.9*$B$8^(-1.2))</f>
        <v>6.4435625252849373</v>
      </c>
      <c r="F200" s="123"/>
      <c r="G200" s="66">
        <v>0.122</v>
      </c>
      <c r="H200" s="111">
        <v>6.9984199600227391E-5</v>
      </c>
      <c r="I200" s="87">
        <f t="shared" si="150"/>
        <v>15280</v>
      </c>
      <c r="J200" s="87">
        <f t="shared" si="151"/>
        <v>1864.1599999999999</v>
      </c>
      <c r="K200" s="87">
        <f t="shared" si="152"/>
        <v>1.0693585698914746E-3</v>
      </c>
      <c r="L200" s="87">
        <f t="shared" si="153"/>
        <v>5.1803351032365086</v>
      </c>
      <c r="M200" s="87">
        <f t="shared" si="154"/>
        <v>4.8483220118640578</v>
      </c>
      <c r="N200" s="112">
        <v>15.28</v>
      </c>
      <c r="O200" s="112">
        <f t="shared" si="155"/>
        <v>1.8641599999999998</v>
      </c>
      <c r="P200" s="113">
        <f t="shared" si="156"/>
        <v>1.0693585698914326E-4</v>
      </c>
      <c r="Q200" s="114">
        <f t="shared" si="157"/>
        <v>5.1803351032365086</v>
      </c>
      <c r="R200" s="109"/>
      <c r="S200" s="115">
        <f t="shared" si="158"/>
        <v>3.18410752</v>
      </c>
      <c r="T200" s="116">
        <f t="shared" si="159"/>
        <v>1.9918176768</v>
      </c>
      <c r="U200" s="116">
        <f t="shared" si="160"/>
        <v>4.409906436508626E-3</v>
      </c>
      <c r="V200" s="116">
        <f t="shared" si="161"/>
        <v>5.1803351032365086</v>
      </c>
      <c r="W200" s="116"/>
      <c r="X200" s="117">
        <f t="shared" si="162"/>
        <v>0.61465280846613013</v>
      </c>
      <c r="Y200" s="117">
        <f t="shared" si="163"/>
        <v>0.38449591331564165</v>
      </c>
      <c r="Z200" s="117">
        <f t="shared" ref="Z200:Z204" si="168">U200/V200</f>
        <v>8.5127821822828735E-4</v>
      </c>
    </row>
    <row r="201" spans="1:26" x14ac:dyDescent="0.3">
      <c r="A201" s="122" t="s">
        <v>55</v>
      </c>
      <c r="B201" s="109"/>
      <c r="C201" s="120">
        <v>0.88</v>
      </c>
      <c r="D201" s="109">
        <f t="shared" si="166"/>
        <v>0.3256</v>
      </c>
      <c r="E201" s="109">
        <f t="shared" si="167"/>
        <v>6.4435625252849373</v>
      </c>
      <c r="F201" s="122"/>
      <c r="G201" s="66">
        <v>0.19400000000000001</v>
      </c>
      <c r="H201" s="111">
        <v>1.0543868963912584E-3</v>
      </c>
      <c r="I201" s="87">
        <f t="shared" si="150"/>
        <v>6943</v>
      </c>
      <c r="J201" s="87">
        <f t="shared" si="151"/>
        <v>1346.942</v>
      </c>
      <c r="K201" s="87">
        <f t="shared" si="152"/>
        <v>7.3206082216445067E-3</v>
      </c>
      <c r="L201" s="87">
        <f t="shared" si="153"/>
        <v>2.9161800101115403</v>
      </c>
      <c r="M201" s="87">
        <f t="shared" si="154"/>
        <v>2.7292789852047208</v>
      </c>
      <c r="N201" s="112">
        <v>6.9429999999999996</v>
      </c>
      <c r="O201" s="112">
        <f t="shared" si="155"/>
        <v>1.3469419999999999</v>
      </c>
      <c r="P201" s="113">
        <f t="shared" si="156"/>
        <v>7.3206082216445466E-4</v>
      </c>
      <c r="Q201" s="114">
        <f t="shared" si="157"/>
        <v>2.9161800101115398</v>
      </c>
      <c r="R201" s="109"/>
      <c r="S201" s="115">
        <f t="shared" si="158"/>
        <v>1.4468101120000001</v>
      </c>
      <c r="T201" s="116">
        <f>O201*$B$72</f>
        <v>1.4391805881599999</v>
      </c>
      <c r="U201" s="116">
        <f t="shared" si="160"/>
        <v>3.0189309951540233E-2</v>
      </c>
      <c r="V201" s="116">
        <f t="shared" si="161"/>
        <v>2.9161800101115398</v>
      </c>
      <c r="W201" s="116"/>
      <c r="X201" s="117">
        <f>S201/V201</f>
        <v>0.4961319626989219</v>
      </c>
      <c r="Y201" s="117">
        <f t="shared" si="163"/>
        <v>0.49351568941896468</v>
      </c>
      <c r="Z201" s="117">
        <f t="shared" si="168"/>
        <v>1.0352347882113606E-2</v>
      </c>
    </row>
    <row r="202" spans="1:26" x14ac:dyDescent="0.3">
      <c r="A202" s="124" t="s">
        <v>56</v>
      </c>
      <c r="B202" s="109"/>
      <c r="C202" s="120">
        <v>0.88</v>
      </c>
      <c r="D202" s="109">
        <f t="shared" si="166"/>
        <v>0.3256</v>
      </c>
      <c r="E202" s="109">
        <f t="shared" si="167"/>
        <v>6.4435625252849373</v>
      </c>
      <c r="F202" s="122"/>
      <c r="G202" s="66">
        <v>0.36799999999999999</v>
      </c>
      <c r="H202" s="111">
        <v>4.4668359215096279E-3</v>
      </c>
      <c r="I202" s="87">
        <f t="shared" si="150"/>
        <v>2254</v>
      </c>
      <c r="J202" s="87">
        <f t="shared" si="151"/>
        <v>829.47199999999998</v>
      </c>
      <c r="K202" s="87">
        <f t="shared" si="152"/>
        <v>1.0068248167082702E-2</v>
      </c>
      <c r="L202" s="87">
        <f t="shared" si="153"/>
        <v>1.397492025974197</v>
      </c>
      <c r="M202" s="87">
        <f t="shared" si="154"/>
        <v>1.3079253013385341</v>
      </c>
      <c r="N202" s="112">
        <v>2.254</v>
      </c>
      <c r="O202" s="112">
        <f t="shared" si="155"/>
        <v>0.82947199999999999</v>
      </c>
      <c r="P202" s="113">
        <f t="shared" si="156"/>
        <v>1.0068248167082673E-3</v>
      </c>
      <c r="Q202" s="114">
        <f t="shared" si="157"/>
        <v>1.397492025974197</v>
      </c>
      <c r="R202" s="109"/>
      <c r="S202" s="115">
        <f t="shared" si="158"/>
        <v>0.46969753599999997</v>
      </c>
      <c r="T202" s="116">
        <f t="shared" si="159"/>
        <v>0.88627424256000009</v>
      </c>
      <c r="U202" s="116">
        <f t="shared" si="160"/>
        <v>4.1520247414196916E-2</v>
      </c>
      <c r="V202" s="116">
        <f t="shared" si="161"/>
        <v>1.397492025974197</v>
      </c>
      <c r="W202" s="116"/>
      <c r="X202" s="117">
        <f t="shared" si="162"/>
        <v>0.33610033350463808</v>
      </c>
      <c r="Y202" s="117">
        <f t="shared" si="163"/>
        <v>0.63418912314878861</v>
      </c>
      <c r="Z202" s="117">
        <f t="shared" si="168"/>
        <v>2.9710543346573297E-2</v>
      </c>
    </row>
    <row r="203" spans="1:26" x14ac:dyDescent="0.3">
      <c r="A203" s="124" t="s">
        <v>58</v>
      </c>
      <c r="B203" s="109"/>
      <c r="C203" s="120">
        <v>0.88</v>
      </c>
      <c r="D203" s="109">
        <f t="shared" si="166"/>
        <v>0.3256</v>
      </c>
      <c r="E203" s="109">
        <f t="shared" si="167"/>
        <v>6.4435625252849373</v>
      </c>
      <c r="F203" s="109"/>
      <c r="G203" s="66">
        <v>0.22</v>
      </c>
      <c r="H203" s="111">
        <v>1.5205475297324944E-2</v>
      </c>
      <c r="I203" s="87">
        <f t="shared" si="150"/>
        <v>228</v>
      </c>
      <c r="J203" s="87">
        <f t="shared" si="151"/>
        <v>50.160000000000004</v>
      </c>
      <c r="K203" s="87">
        <f t="shared" si="152"/>
        <v>3.4668483677900868E-3</v>
      </c>
      <c r="L203" s="87">
        <f t="shared" si="153"/>
        <v>0.11540337550306397</v>
      </c>
      <c r="M203" s="87">
        <f t="shared" si="154"/>
        <v>0.10800705254479631</v>
      </c>
      <c r="N203" s="112">
        <v>0.22800000000000001</v>
      </c>
      <c r="O203" s="112">
        <f t="shared" si="155"/>
        <v>5.0160000000000003E-2</v>
      </c>
      <c r="P203" s="113">
        <f t="shared" si="156"/>
        <v>3.4668483677900838E-4</v>
      </c>
      <c r="Q203" s="114">
        <f t="shared" si="157"/>
        <v>0.11540337550306398</v>
      </c>
      <c r="R203" s="109"/>
      <c r="S203" s="115">
        <f t="shared" si="158"/>
        <v>4.7511552000000006E-2</v>
      </c>
      <c r="T203" s="116">
        <f t="shared" si="159"/>
        <v>5.359495680000001E-2</v>
      </c>
      <c r="U203" s="116">
        <f t="shared" si="160"/>
        <v>1.429686670306396E-2</v>
      </c>
      <c r="V203" s="116">
        <f t="shared" si="161"/>
        <v>0.11540337550306398</v>
      </c>
      <c r="W203" s="116"/>
      <c r="X203" s="117">
        <f t="shared" si="162"/>
        <v>0.41169984667163018</v>
      </c>
      <c r="Y203" s="117">
        <f t="shared" si="163"/>
        <v>0.4644141175799234</v>
      </c>
      <c r="Z203" s="117">
        <f t="shared" si="168"/>
        <v>0.12388603574844632</v>
      </c>
    </row>
    <row r="204" spans="1:26" x14ac:dyDescent="0.3">
      <c r="A204" s="124" t="s">
        <v>57</v>
      </c>
      <c r="B204" s="109"/>
      <c r="C204" s="120">
        <v>0.88</v>
      </c>
      <c r="D204" s="109">
        <f t="shared" si="166"/>
        <v>0.3256</v>
      </c>
      <c r="E204" s="109">
        <f t="shared" si="167"/>
        <v>6.4435625252849373</v>
      </c>
      <c r="F204" s="109"/>
      <c r="G204" s="66">
        <v>0.24199999999999999</v>
      </c>
      <c r="H204" s="111">
        <v>4.4668359215096279E-3</v>
      </c>
      <c r="I204" s="87">
        <f t="shared" si="150"/>
        <v>54</v>
      </c>
      <c r="J204" s="87">
        <f t="shared" si="151"/>
        <v>13.068</v>
      </c>
      <c r="K204" s="87">
        <f t="shared" si="152"/>
        <v>2.4120913976151992E-4</v>
      </c>
      <c r="L204" s="87">
        <f t="shared" si="153"/>
        <v>2.621035019118307E-2</v>
      </c>
      <c r="M204" s="87">
        <f t="shared" si="154"/>
        <v>2.4530501451766124E-2</v>
      </c>
      <c r="N204" s="112">
        <v>5.3999999999999999E-2</v>
      </c>
      <c r="O204" s="112">
        <f t="shared" si="155"/>
        <v>1.3068E-2</v>
      </c>
      <c r="P204" s="113">
        <f t="shared" si="156"/>
        <v>2.4120913976151923E-5</v>
      </c>
      <c r="Q204" s="114">
        <f t="shared" si="157"/>
        <v>2.621035019118307E-2</v>
      </c>
      <c r="R204" s="109"/>
      <c r="S204" s="115">
        <f t="shared" si="158"/>
        <v>1.1252736000000001E-2</v>
      </c>
      <c r="T204" s="116">
        <f t="shared" si="159"/>
        <v>1.3962896640000002E-2</v>
      </c>
      <c r="U204" s="116">
        <f t="shared" si="160"/>
        <v>9.9471755118306707E-4</v>
      </c>
      <c r="V204" s="116">
        <f t="shared" ref="V204" si="169">SUM(S204:U204)</f>
        <v>2.621035019118307E-2</v>
      </c>
      <c r="W204" s="116"/>
      <c r="X204" s="117">
        <f t="shared" si="162"/>
        <v>0.42932413790432</v>
      </c>
      <c r="Y204" s="117">
        <f t="shared" si="163"/>
        <v>0.53272453584755985</v>
      </c>
      <c r="Z204" s="117">
        <f t="shared" si="168"/>
        <v>3.795132624812015E-2</v>
      </c>
    </row>
    <row r="207" spans="1:26" ht="18" x14ac:dyDescent="0.35">
      <c r="A207" s="70"/>
    </row>
    <row r="208" spans="1:26" ht="21" x14ac:dyDescent="0.4">
      <c r="A208" s="71"/>
    </row>
    <row r="209" spans="1:2" x14ac:dyDescent="0.3">
      <c r="A209" s="30"/>
      <c r="B209" s="77"/>
    </row>
  </sheetData>
  <mergeCells count="21">
    <mergeCell ref="AZ15:BC15"/>
    <mergeCell ref="F15:G15"/>
    <mergeCell ref="N15:P15"/>
    <mergeCell ref="S15:V15"/>
    <mergeCell ref="AM15:AN15"/>
    <mergeCell ref="AU15:AW15"/>
    <mergeCell ref="F45:G45"/>
    <mergeCell ref="N45:P45"/>
    <mergeCell ref="S45:V45"/>
    <mergeCell ref="F103:G103"/>
    <mergeCell ref="N103:P103"/>
    <mergeCell ref="S103:V103"/>
    <mergeCell ref="F192:G192"/>
    <mergeCell ref="N192:P192"/>
    <mergeCell ref="S192:V192"/>
    <mergeCell ref="F132:G132"/>
    <mergeCell ref="N132:P132"/>
    <mergeCell ref="S132:V132"/>
    <mergeCell ref="F162:G162"/>
    <mergeCell ref="N162:P162"/>
    <mergeCell ref="S162:V16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1A270-E5A3-4618-BB34-31982F9B7EC2}">
  <dimension ref="A1:BF190"/>
  <sheetViews>
    <sheetView workbookViewId="0">
      <selection activeCell="E35" sqref="E35"/>
    </sheetView>
  </sheetViews>
  <sheetFormatPr defaultRowHeight="14.4" x14ac:dyDescent="0.3"/>
  <sheetData>
    <row r="1" spans="1:58" ht="18.600000000000001" thickBot="1" x14ac:dyDescent="0.4">
      <c r="A1" s="70" t="s">
        <v>91</v>
      </c>
      <c r="AG1" s="70" t="s">
        <v>92</v>
      </c>
    </row>
    <row r="2" spans="1:58" ht="58.8" x14ac:dyDescent="0.4">
      <c r="A2" s="71" t="s">
        <v>93</v>
      </c>
      <c r="W2" s="136" t="s">
        <v>147</v>
      </c>
      <c r="X2" s="73" t="s">
        <v>95</v>
      </c>
      <c r="Y2" s="73" t="s">
        <v>155</v>
      </c>
      <c r="Z2" s="74" t="s">
        <v>97</v>
      </c>
      <c r="AA2" s="75" t="s">
        <v>98</v>
      </c>
      <c r="AB2" s="76" t="s">
        <v>99</v>
      </c>
      <c r="AC2" s="76" t="s">
        <v>100</v>
      </c>
      <c r="AD2" s="74" t="s">
        <v>154</v>
      </c>
      <c r="AE2" s="30"/>
      <c r="AF2" s="30"/>
      <c r="AG2" s="71" t="s">
        <v>102</v>
      </c>
    </row>
    <row r="3" spans="1:58" x14ac:dyDescent="0.3">
      <c r="A3" s="30" t="s">
        <v>103</v>
      </c>
      <c r="B3" s="77" t="s">
        <v>104</v>
      </c>
      <c r="W3" s="86" t="s">
        <v>49</v>
      </c>
      <c r="X3" s="79">
        <f t="shared" ref="X3:X12" si="0">BB18</f>
        <v>14.469152716704</v>
      </c>
      <c r="Y3" s="79">
        <f>SUM(V18,V48,V78)</f>
        <v>8.9451155502124156</v>
      </c>
      <c r="Z3" s="80">
        <f>(X3-Y3)/X3</f>
        <v>0.38178027937422532</v>
      </c>
      <c r="AA3" s="129">
        <f>V18/X3</f>
        <v>0.61005583280819597</v>
      </c>
      <c r="AB3" s="130">
        <f>V48/X3</f>
        <v>7.0196637988862677E-3</v>
      </c>
      <c r="AC3" s="130">
        <f>V78/X3</f>
        <v>1.1442240186924535E-3</v>
      </c>
      <c r="AD3" s="131">
        <f>SUM(AA3:AC3)</f>
        <v>0.61821972062577468</v>
      </c>
      <c r="AE3" s="132"/>
      <c r="AF3" s="84"/>
      <c r="AG3" s="30" t="s">
        <v>103</v>
      </c>
      <c r="AH3" s="47" t="s">
        <v>104</v>
      </c>
    </row>
    <row r="4" spans="1:58" x14ac:dyDescent="0.3">
      <c r="A4" t="s">
        <v>105</v>
      </c>
      <c r="B4">
        <v>0.37</v>
      </c>
      <c r="W4" s="86" t="s">
        <v>50</v>
      </c>
      <c r="X4" s="79">
        <f t="shared" si="0"/>
        <v>14.848123588936001</v>
      </c>
      <c r="Y4" s="79">
        <f t="shared" ref="Y4:Y12" si="1">SUM(V19,V49,V79)</f>
        <v>15.039413464226314</v>
      </c>
      <c r="Z4" s="80">
        <f>(Y4-X4)/X4</f>
        <v>1.2883100961851577E-2</v>
      </c>
      <c r="AA4" s="129">
        <f t="shared" ref="AA4:AA12" si="2">V19/X4</f>
        <v>0.73246359765127689</v>
      </c>
      <c r="AB4" s="130">
        <f t="shared" ref="AB4:AB12" si="3">V49/X4</f>
        <v>0.16835109746824489</v>
      </c>
      <c r="AC4" s="130">
        <f t="shared" ref="AC4:AC12" si="4">V79/X4</f>
        <v>0.11206840584232979</v>
      </c>
      <c r="AD4" s="131">
        <f t="shared" ref="AD4:AD12" si="5">SUM(AA4:AC4)</f>
        <v>1.0128831009618515</v>
      </c>
      <c r="AE4" s="132"/>
      <c r="AF4" s="84"/>
      <c r="AG4" t="s">
        <v>105</v>
      </c>
      <c r="AH4">
        <v>0.37</v>
      </c>
    </row>
    <row r="5" spans="1:58" x14ac:dyDescent="0.3">
      <c r="A5" t="s">
        <v>106</v>
      </c>
      <c r="B5">
        <f>2.65*(1-B4)</f>
        <v>1.6695</v>
      </c>
      <c r="W5" s="86" t="s">
        <v>51</v>
      </c>
      <c r="X5" s="79">
        <f t="shared" si="0"/>
        <v>1.4824424605600002</v>
      </c>
      <c r="Y5" s="79">
        <f t="shared" si="1"/>
        <v>0.36112225638432666</v>
      </c>
      <c r="Z5" s="80">
        <f t="shared" ref="Z5:Z10" si="6">(Y5-X5)/X5</f>
        <v>-0.75640049041234902</v>
      </c>
      <c r="AA5" s="129">
        <f t="shared" si="2"/>
        <v>0.20894675351405201</v>
      </c>
      <c r="AB5" s="130">
        <f t="shared" si="3"/>
        <v>2.7160268273901875E-2</v>
      </c>
      <c r="AC5" s="130">
        <f t="shared" si="4"/>
        <v>7.4924877996970698E-3</v>
      </c>
      <c r="AD5" s="131">
        <f t="shared" si="5"/>
        <v>0.24359950958765098</v>
      </c>
      <c r="AE5" s="132"/>
      <c r="AF5" s="84"/>
      <c r="AG5" t="s">
        <v>106</v>
      </c>
      <c r="AH5">
        <f>2.65*(1-AH4)</f>
        <v>1.6695</v>
      </c>
    </row>
    <row r="6" spans="1:58" x14ac:dyDescent="0.3">
      <c r="A6" t="s">
        <v>107</v>
      </c>
      <c r="B6">
        <v>0.88</v>
      </c>
      <c r="W6" s="88" t="s">
        <v>52</v>
      </c>
      <c r="X6" s="79">
        <f t="shared" si="0"/>
        <v>21.830863014336</v>
      </c>
      <c r="Y6" s="79">
        <f t="shared" si="1"/>
        <v>20.235875301428059</v>
      </c>
      <c r="Z6" s="80">
        <f t="shared" si="6"/>
        <v>-7.3061138804294448E-2</v>
      </c>
      <c r="AA6" s="129">
        <f t="shared" si="2"/>
        <v>0.89019138635300032</v>
      </c>
      <c r="AB6" s="130">
        <f t="shared" si="3"/>
        <v>3.4311007773822545E-2</v>
      </c>
      <c r="AC6" s="130">
        <f t="shared" si="4"/>
        <v>2.4364670688826798E-3</v>
      </c>
      <c r="AD6" s="131">
        <f t="shared" si="5"/>
        <v>0.92693886119570557</v>
      </c>
      <c r="AE6" s="132"/>
      <c r="AF6" s="84"/>
      <c r="AG6" t="s">
        <v>107</v>
      </c>
      <c r="AH6">
        <v>1</v>
      </c>
    </row>
    <row r="7" spans="1:58" x14ac:dyDescent="0.3">
      <c r="A7" t="s">
        <v>108</v>
      </c>
      <c r="B7">
        <f>B4*B6</f>
        <v>0.3256</v>
      </c>
      <c r="W7" s="86" t="s">
        <v>53</v>
      </c>
      <c r="X7" s="79">
        <f t="shared" si="0"/>
        <v>13.305839013618002</v>
      </c>
      <c r="Y7" s="79">
        <f t="shared" si="1"/>
        <v>20.30223756135296</v>
      </c>
      <c r="Z7" s="80">
        <f t="shared" si="6"/>
        <v>0.52581415877453652</v>
      </c>
      <c r="AA7" s="129">
        <f t="shared" si="2"/>
        <v>0.99832938748095734</v>
      </c>
      <c r="AB7" s="130">
        <f t="shared" si="3"/>
        <v>0.42427158036808577</v>
      </c>
      <c r="AC7" s="130">
        <f t="shared" si="4"/>
        <v>0.1032131909254934</v>
      </c>
      <c r="AD7" s="131">
        <f>SUM(AA7:AC7)</f>
        <v>1.5258141587745366</v>
      </c>
      <c r="AE7" s="132"/>
      <c r="AF7" s="84"/>
      <c r="AG7" t="s">
        <v>108</v>
      </c>
      <c r="AH7">
        <f>AH4*AH6</f>
        <v>0.37</v>
      </c>
    </row>
    <row r="8" spans="1:58" x14ac:dyDescent="0.3">
      <c r="A8" t="s">
        <v>109</v>
      </c>
      <c r="B8">
        <v>0.06</v>
      </c>
      <c r="W8" s="86" t="s">
        <v>54</v>
      </c>
      <c r="X8" s="79">
        <f t="shared" si="0"/>
        <v>36.567628100564001</v>
      </c>
      <c r="Y8" s="79">
        <f t="shared" si="1"/>
        <v>31.916105304521327</v>
      </c>
      <c r="Z8" s="80">
        <f>(Y8-X8)/X8</f>
        <v>-0.12720329530946337</v>
      </c>
      <c r="AA8" s="129">
        <f t="shared" si="2"/>
        <v>0.86724163202502291</v>
      </c>
      <c r="AB8" s="130">
        <f t="shared" si="3"/>
        <v>4.4784002691902131E-3</v>
      </c>
      <c r="AC8" s="130">
        <f t="shared" si="4"/>
        <v>1.0766723963234503E-3</v>
      </c>
      <c r="AD8" s="131">
        <f t="shared" si="5"/>
        <v>0.87279670469053661</v>
      </c>
      <c r="AE8" s="132"/>
      <c r="AF8" s="84"/>
      <c r="AG8" t="s">
        <v>109</v>
      </c>
      <c r="AH8">
        <v>0.06</v>
      </c>
    </row>
    <row r="9" spans="1:58" x14ac:dyDescent="0.3">
      <c r="A9" s="87"/>
      <c r="B9" s="87"/>
      <c r="W9" s="86" t="s">
        <v>55</v>
      </c>
      <c r="X9" s="79">
        <f t="shared" si="0"/>
        <v>13.966107878243999</v>
      </c>
      <c r="Y9" s="79">
        <f t="shared" si="1"/>
        <v>19.928959790772225</v>
      </c>
      <c r="Z9" s="80">
        <f t="shared" si="6"/>
        <v>0.42695158626241064</v>
      </c>
      <c r="AA9" s="129">
        <f>V24/X9</f>
        <v>0.95629172666954376</v>
      </c>
      <c r="AB9" s="130">
        <f t="shared" si="3"/>
        <v>0.30256487508641772</v>
      </c>
      <c r="AC9" s="130">
        <f t="shared" si="4"/>
        <v>0.16809498450644908</v>
      </c>
      <c r="AD9" s="131">
        <f t="shared" si="5"/>
        <v>1.4269515862624105</v>
      </c>
      <c r="AE9" s="132"/>
      <c r="AF9" s="84"/>
      <c r="AG9" s="87"/>
      <c r="AH9" s="87"/>
    </row>
    <row r="10" spans="1:58" x14ac:dyDescent="0.3">
      <c r="A10" s="87"/>
      <c r="B10" s="87"/>
      <c r="W10" s="88" t="s">
        <v>56</v>
      </c>
      <c r="X10" s="79">
        <f t="shared" si="0"/>
        <v>10.763356184192</v>
      </c>
      <c r="Y10" s="79">
        <f t="shared" si="1"/>
        <v>13.422154177906858</v>
      </c>
      <c r="Z10" s="80">
        <f t="shared" si="6"/>
        <v>0.2470231355550418</v>
      </c>
      <c r="AA10" s="129">
        <f t="shared" si="2"/>
        <v>0.89460908459734445</v>
      </c>
      <c r="AB10" s="130">
        <f t="shared" si="3"/>
        <v>0.20622836853223497</v>
      </c>
      <c r="AC10" s="130">
        <f t="shared" si="4"/>
        <v>0.14618568242546232</v>
      </c>
      <c r="AD10" s="131">
        <f t="shared" si="5"/>
        <v>1.2470231355550419</v>
      </c>
      <c r="AE10" s="132"/>
      <c r="AF10" s="84"/>
      <c r="AG10" s="87"/>
      <c r="AH10" s="87"/>
    </row>
    <row r="11" spans="1:58" ht="16.2" x14ac:dyDescent="0.3">
      <c r="A11" t="s">
        <v>110</v>
      </c>
      <c r="B11">
        <f>(-2.85*B6+3.6)*((1-B6)*3.9*B8^(-1.2))</f>
        <v>14.951576628406734</v>
      </c>
      <c r="W11" s="88" t="s">
        <v>58</v>
      </c>
      <c r="X11" s="79">
        <f t="shared" si="0"/>
        <v>2.7038282270799998</v>
      </c>
      <c r="Y11" s="79">
        <f t="shared" si="1"/>
        <v>0.29403375210741778</v>
      </c>
      <c r="Z11" s="80">
        <f>(Y11-X11)/X11</f>
        <v>-0.89125279884182596</v>
      </c>
      <c r="AA11" s="129">
        <f t="shared" si="2"/>
        <v>8.2663120359593487E-2</v>
      </c>
      <c r="AB11" s="130">
        <f t="shared" si="3"/>
        <v>1.9331625644041953E-2</v>
      </c>
      <c r="AC11" s="130">
        <f t="shared" si="4"/>
        <v>6.7524551545385973E-3</v>
      </c>
      <c r="AD11" s="131">
        <f t="shared" si="5"/>
        <v>0.10874720115817403</v>
      </c>
      <c r="AE11" s="132"/>
      <c r="AF11" s="84"/>
      <c r="AG11" t="s">
        <v>110</v>
      </c>
      <c r="AH11">
        <f>(-2.85*AH6+3.6)*((1-AH6)*3.9*AH8^(-1.2))</f>
        <v>0</v>
      </c>
    </row>
    <row r="12" spans="1:58" ht="15" thickBot="1" x14ac:dyDescent="0.35">
      <c r="A12" s="89"/>
      <c r="B12" s="89"/>
      <c r="W12" s="90" t="s">
        <v>57</v>
      </c>
      <c r="X12" s="91">
        <f t="shared" si="0"/>
        <v>0.44824988327999993</v>
      </c>
      <c r="Y12" s="91">
        <f t="shared" si="1"/>
        <v>0.1840333227591357</v>
      </c>
      <c r="Z12" s="92">
        <f>(Y12-X12)/X12</f>
        <v>-0.58944033311843824</v>
      </c>
      <c r="AA12" s="133">
        <f t="shared" si="2"/>
        <v>0.32527810201088941</v>
      </c>
      <c r="AB12" s="134">
        <f t="shared" si="3"/>
        <v>6.2539814238493044E-2</v>
      </c>
      <c r="AC12" s="134">
        <f t="shared" si="4"/>
        <v>2.2741750632179283E-2</v>
      </c>
      <c r="AD12" s="135">
        <f t="shared" si="5"/>
        <v>0.4105596668815617</v>
      </c>
      <c r="AE12" s="132"/>
      <c r="AF12" s="84"/>
      <c r="AG12" s="87"/>
      <c r="AH12" s="87"/>
    </row>
    <row r="13" spans="1:58" x14ac:dyDescent="0.3">
      <c r="A13" t="s">
        <v>111</v>
      </c>
      <c r="B13">
        <f>B5*B14</f>
        <v>1.5359400000000001</v>
      </c>
      <c r="AG13" t="s">
        <v>111</v>
      </c>
      <c r="AH13">
        <f>AH5*AH14</f>
        <v>0.84810600000000003</v>
      </c>
    </row>
    <row r="14" spans="1:58" x14ac:dyDescent="0.3">
      <c r="A14" t="s">
        <v>112</v>
      </c>
      <c r="B14">
        <v>0.92</v>
      </c>
      <c r="AB14" s="95"/>
      <c r="AC14" s="95"/>
      <c r="AD14" s="95"/>
      <c r="AE14" s="95"/>
      <c r="AF14" s="95"/>
      <c r="AG14" t="s">
        <v>113</v>
      </c>
      <c r="AH14">
        <v>0.50800000000000001</v>
      </c>
    </row>
    <row r="15" spans="1:58" x14ac:dyDescent="0.3">
      <c r="C15" s="96"/>
      <c r="D15" s="96"/>
      <c r="E15" s="97"/>
      <c r="F15" s="189"/>
      <c r="G15" s="189"/>
      <c r="N15" s="190" t="s">
        <v>114</v>
      </c>
      <c r="O15" s="190"/>
      <c r="P15" s="190"/>
      <c r="Q15" s="100"/>
      <c r="S15" s="191" t="s">
        <v>115</v>
      </c>
      <c r="T15" s="191"/>
      <c r="U15" s="191"/>
      <c r="V15" s="191"/>
      <c r="X15" t="s">
        <v>116</v>
      </c>
      <c r="AI15" s="96"/>
      <c r="AJ15" s="96"/>
      <c r="AK15" s="97"/>
      <c r="AL15" s="189"/>
      <c r="AM15" s="189"/>
      <c r="AT15" s="190" t="s">
        <v>114</v>
      </c>
      <c r="AU15" s="190"/>
      <c r="AV15" s="190"/>
      <c r="AW15" s="100"/>
      <c r="AY15" s="191" t="s">
        <v>115</v>
      </c>
      <c r="AZ15" s="191"/>
      <c r="BA15" s="191"/>
      <c r="BB15" s="191"/>
      <c r="BD15" t="s">
        <v>116</v>
      </c>
    </row>
    <row r="16" spans="1:58" ht="28.8" x14ac:dyDescent="0.3">
      <c r="C16" s="101" t="s">
        <v>117</v>
      </c>
      <c r="D16" s="102" t="s">
        <v>118</v>
      </c>
      <c r="E16" s="102" t="s">
        <v>119</v>
      </c>
      <c r="F16" s="101"/>
      <c r="G16" s="103" t="s">
        <v>120</v>
      </c>
      <c r="H16" s="102" t="s">
        <v>121</v>
      </c>
      <c r="I16" s="104" t="s">
        <v>122</v>
      </c>
      <c r="J16" s="104" t="s">
        <v>123</v>
      </c>
      <c r="K16" s="105" t="s">
        <v>124</v>
      </c>
      <c r="L16" s="104" t="s">
        <v>125</v>
      </c>
      <c r="M16" s="106" t="s">
        <v>151</v>
      </c>
      <c r="N16" s="107" t="s">
        <v>127</v>
      </c>
      <c r="O16" s="98" t="s">
        <v>128</v>
      </c>
      <c r="P16" s="98" t="s">
        <v>129</v>
      </c>
      <c r="Q16" s="102" t="s">
        <v>130</v>
      </c>
      <c r="S16" s="102" t="s">
        <v>131</v>
      </c>
      <c r="T16" s="98" t="s">
        <v>132</v>
      </c>
      <c r="U16" s="98" t="s">
        <v>133</v>
      </c>
      <c r="V16" s="102" t="s">
        <v>134</v>
      </c>
      <c r="X16" s="102" t="s">
        <v>131</v>
      </c>
      <c r="Y16" s="98" t="s">
        <v>132</v>
      </c>
      <c r="Z16" s="98" t="s">
        <v>133</v>
      </c>
      <c r="AI16" s="101" t="s">
        <v>117</v>
      </c>
      <c r="AJ16" s="102" t="s">
        <v>118</v>
      </c>
      <c r="AK16" s="102" t="s">
        <v>119</v>
      </c>
      <c r="AL16" s="101"/>
      <c r="AM16" s="103" t="s">
        <v>120</v>
      </c>
      <c r="AN16" s="102" t="s">
        <v>121</v>
      </c>
      <c r="AO16" s="104" t="s">
        <v>122</v>
      </c>
      <c r="AP16" s="104" t="s">
        <v>123</v>
      </c>
      <c r="AQ16" s="105" t="s">
        <v>124</v>
      </c>
      <c r="AR16" s="104" t="s">
        <v>125</v>
      </c>
      <c r="AS16" s="106" t="s">
        <v>126</v>
      </c>
      <c r="AT16" s="107" t="s">
        <v>127</v>
      </c>
      <c r="AU16" s="98" t="s">
        <v>128</v>
      </c>
      <c r="AV16" s="98" t="s">
        <v>129</v>
      </c>
      <c r="AW16" s="102" t="s">
        <v>130</v>
      </c>
      <c r="AY16" s="102" t="s">
        <v>131</v>
      </c>
      <c r="AZ16" s="98" t="s">
        <v>132</v>
      </c>
      <c r="BA16" s="98" t="s">
        <v>133</v>
      </c>
      <c r="BB16" s="102" t="s">
        <v>134</v>
      </c>
      <c r="BD16" s="102" t="s">
        <v>131</v>
      </c>
      <c r="BE16" s="98" t="s">
        <v>132</v>
      </c>
      <c r="BF16" s="98" t="s">
        <v>133</v>
      </c>
    </row>
    <row r="17" spans="1:58" x14ac:dyDescent="0.3">
      <c r="A17" s="19" t="s">
        <v>135</v>
      </c>
      <c r="B17" s="98"/>
      <c r="C17" s="101" t="s">
        <v>136</v>
      </c>
      <c r="D17" t="s">
        <v>136</v>
      </c>
      <c r="E17" t="s">
        <v>137</v>
      </c>
      <c r="F17" s="101"/>
      <c r="G17" s="103" t="s">
        <v>88</v>
      </c>
      <c r="H17" s="102" t="s">
        <v>12</v>
      </c>
      <c r="I17" s="87"/>
      <c r="J17" s="87"/>
      <c r="K17" s="87"/>
      <c r="L17" s="87"/>
      <c r="M17" s="87" t="s">
        <v>138</v>
      </c>
      <c r="N17" s="102" t="s">
        <v>139</v>
      </c>
      <c r="O17" s="99" t="s">
        <v>140</v>
      </c>
      <c r="P17" s="99" t="s">
        <v>141</v>
      </c>
      <c r="Q17" s="99" t="s">
        <v>142</v>
      </c>
      <c r="S17" s="99" t="s">
        <v>143</v>
      </c>
      <c r="T17" s="99" t="s">
        <v>143</v>
      </c>
      <c r="U17" s="99" t="s">
        <v>142</v>
      </c>
      <c r="V17" s="102" t="s">
        <v>142</v>
      </c>
      <c r="X17" s="102"/>
      <c r="Y17" s="98"/>
      <c r="Z17" s="98"/>
      <c r="AG17" s="19" t="s">
        <v>135</v>
      </c>
      <c r="AH17" s="98"/>
      <c r="AI17" s="101" t="s">
        <v>136</v>
      </c>
      <c r="AJ17" t="s">
        <v>136</v>
      </c>
      <c r="AK17" t="s">
        <v>137</v>
      </c>
      <c r="AL17" s="101"/>
      <c r="AM17" s="103" t="s">
        <v>88</v>
      </c>
      <c r="AN17" s="102" t="s">
        <v>12</v>
      </c>
      <c r="AO17" s="87"/>
      <c r="AP17" s="87"/>
      <c r="AQ17" s="87"/>
      <c r="AR17" s="87"/>
      <c r="AS17" s="87" t="s">
        <v>138</v>
      </c>
      <c r="AT17" s="102" t="s">
        <v>139</v>
      </c>
      <c r="AU17" s="99" t="s">
        <v>140</v>
      </c>
      <c r="AV17" s="99" t="s">
        <v>141</v>
      </c>
      <c r="AW17" s="99" t="s">
        <v>142</v>
      </c>
      <c r="AY17" s="99" t="s">
        <v>143</v>
      </c>
      <c r="AZ17" s="99" t="s">
        <v>143</v>
      </c>
      <c r="BA17" s="99" t="s">
        <v>142</v>
      </c>
      <c r="BB17" s="102" t="s">
        <v>142</v>
      </c>
      <c r="BD17" s="102"/>
      <c r="BE17" s="98"/>
      <c r="BF17" s="98"/>
    </row>
    <row r="18" spans="1:58" x14ac:dyDescent="0.3">
      <c r="A18" s="108" t="s">
        <v>49</v>
      </c>
      <c r="B18" s="109"/>
      <c r="C18" s="109">
        <v>0.88</v>
      </c>
      <c r="D18" s="109">
        <f>C18*$B$4</f>
        <v>0.3256</v>
      </c>
      <c r="E18" s="109">
        <f>(-2.85*C18+3.6)*((1-C18)*3.9*$B$8^(-1.2))</f>
        <v>14.951576628406734</v>
      </c>
      <c r="F18" s="110"/>
      <c r="G18" s="66">
        <v>8.0000000000000002E-3</v>
      </c>
      <c r="H18" s="111">
        <v>9.506047936562795E-5</v>
      </c>
      <c r="I18" s="87">
        <f>N18*1000</f>
        <v>28188</v>
      </c>
      <c r="J18" s="87">
        <f>G18*I18</f>
        <v>225.50399999999999</v>
      </c>
      <c r="K18" s="87">
        <f>(I18*H18)/1000</f>
        <v>2.6795647923583206E-3</v>
      </c>
      <c r="L18" s="87">
        <f>(I18*$B$14*$B$7+$B$5*$B$14*J18+$B$14*$B$11*K18*1000)/1000</f>
        <v>8.8269910106178298</v>
      </c>
      <c r="M18" s="87">
        <f>L18/$B$13</f>
        <v>5.7469634299632988</v>
      </c>
      <c r="N18" s="112">
        <v>28.187999999999999</v>
      </c>
      <c r="O18" s="112">
        <f>N18*G18</f>
        <v>0.22550399999999998</v>
      </c>
      <c r="P18" s="113">
        <f>(L18-N18*D18*$B$14-O18*$B$13)/(E18*$B$14*1000)*100</f>
        <v>2.6795647923584287E-4</v>
      </c>
      <c r="Q18" s="114">
        <f>N18*D18*$B$14+O18*$B$13+P18/100*E18*$B$14*1000</f>
        <v>8.8269910106178298</v>
      </c>
      <c r="R18" s="109"/>
      <c r="S18" s="115">
        <f>N18*D18*$B$14</f>
        <v>8.4437717760000002</v>
      </c>
      <c r="T18" s="116">
        <f t="shared" ref="T18:T27" si="7">O18*$B$13</f>
        <v>0.34636061375999999</v>
      </c>
      <c r="U18" s="116">
        <f>P18/100*E18*$B$14*1000</f>
        <v>3.6858620857829594E-2</v>
      </c>
      <c r="V18" s="116">
        <f>SUM(S18:U18)</f>
        <v>8.8269910106178298</v>
      </c>
      <c r="W18" s="116"/>
      <c r="X18" s="117">
        <f>S18/V18</f>
        <v>0.95658551887536059</v>
      </c>
      <c r="Y18" s="117">
        <f>T18/V18</f>
        <v>3.9238808937651456E-2</v>
      </c>
      <c r="Z18" s="117">
        <f>U18/V18</f>
        <v>4.1756721869879573E-3</v>
      </c>
      <c r="AC18" s="118"/>
      <c r="AG18" s="108" t="s">
        <v>49</v>
      </c>
      <c r="AH18" s="109"/>
      <c r="AI18" s="109">
        <v>1</v>
      </c>
      <c r="AJ18" s="109">
        <f>AI18*$B$4</f>
        <v>0.37</v>
      </c>
      <c r="AK18" s="109">
        <f>(-2.85*AI18+3.6)*((1-AI18)*3.9*$B$8^(-1.2))</f>
        <v>0</v>
      </c>
      <c r="AL18" s="110"/>
      <c r="AM18" s="66">
        <v>8.0000000000000002E-3</v>
      </c>
      <c r="AN18" s="111">
        <v>9.506047936562795E-5</v>
      </c>
      <c r="AO18" s="87">
        <f>AT18*1000</f>
        <v>74298</v>
      </c>
      <c r="AP18" s="87">
        <f>AM18*AO18</f>
        <v>594.38400000000001</v>
      </c>
      <c r="AQ18" s="87">
        <f>(AO18*AN18)/1000</f>
        <v>7.0628034959074248E-3</v>
      </c>
      <c r="AR18" s="87">
        <f>(AO18*$AH$14*$AH$7+$AH$5*$AH$14*AP18+$AH$14*$AH$11*AQ18*1000)/1000</f>
        <v>14.469152716704</v>
      </c>
      <c r="AS18" s="87">
        <f>AR18/$AH$13</f>
        <v>17.060547522012577</v>
      </c>
      <c r="AT18" s="112">
        <v>74.298000000000002</v>
      </c>
      <c r="AU18" s="112">
        <f>AT18*AM18</f>
        <v>0.59438400000000002</v>
      </c>
      <c r="AV18" s="113" t="e">
        <f>(AR18-AT18*AJ18*$AH$14-AU18*$AH$13)/(AK18*$AH$14*1000)*100</f>
        <v>#DIV/0!</v>
      </c>
      <c r="AW18" s="114">
        <f>AT18*AJ18*$AH$14+AU18*$AH$13</f>
        <v>14.469152716704</v>
      </c>
      <c r="AX18" s="109"/>
      <c r="AY18" s="115">
        <f>AT18*AJ18*$AH$14</f>
        <v>13.96505208</v>
      </c>
      <c r="AZ18" s="116">
        <f>AU18*$AH$13</f>
        <v>0.50410063670400007</v>
      </c>
      <c r="BA18" s="116" t="e">
        <f>AV18/100*AK18*$AH$14*1000</f>
        <v>#DIV/0!</v>
      </c>
      <c r="BB18" s="116">
        <f>SUM(AY18:AZ18)</f>
        <v>14.469152716704</v>
      </c>
      <c r="BC18" s="116"/>
      <c r="BD18" s="117">
        <f>AY18/BB18</f>
        <v>0.96516032095493476</v>
      </c>
      <c r="BE18" s="117">
        <f>AZ18/BB18</f>
        <v>3.4839679045065165E-2</v>
      </c>
      <c r="BF18" s="117" t="e">
        <f>BA18/BB18</f>
        <v>#DIV/0!</v>
      </c>
    </row>
    <row r="19" spans="1:58" x14ac:dyDescent="0.3">
      <c r="A19" s="108" t="s">
        <v>50</v>
      </c>
      <c r="B19" s="119"/>
      <c r="C19" s="120">
        <v>0.88</v>
      </c>
      <c r="D19" s="109">
        <f>C19*$B$4</f>
        <v>0.3256</v>
      </c>
      <c r="E19" s="109">
        <f>(-2.85*C19+3.6)*((1-C19)*3.9*$B$8^(-1.2))</f>
        <v>14.951576628406734</v>
      </c>
      <c r="F19" s="110"/>
      <c r="G19" s="66">
        <v>0.16600000000000001</v>
      </c>
      <c r="H19" s="111">
        <v>2.5292979964461428E-3</v>
      </c>
      <c r="I19" s="87">
        <f t="shared" ref="I19:I27" si="8">N19*1000</f>
        <v>18455</v>
      </c>
      <c r="J19" s="87">
        <f t="shared" ref="J19:J27" si="9">G19*I19</f>
        <v>3063.53</v>
      </c>
      <c r="K19" s="87">
        <f t="shared" ref="K19:K27" si="10">(I19*H19)/1000</f>
        <v>4.667819452441356E-2</v>
      </c>
      <c r="L19" s="87">
        <f t="shared" ref="L19:L27" si="11">(I19*$B$14*$B$7+$B$5*$B$14*J19+$B$14*$B$11*K19*1000)/1000</f>
        <v>10.875710022322851</v>
      </c>
      <c r="M19" s="87">
        <f t="shared" ref="M19:M27" si="12">L19/$B$13</f>
        <v>7.0808169735294673</v>
      </c>
      <c r="N19" s="112">
        <v>18.454999999999998</v>
      </c>
      <c r="O19" s="112">
        <f t="shared" ref="O19:O27" si="13">N19*G19</f>
        <v>3.0635300000000001</v>
      </c>
      <c r="P19" s="113">
        <f t="shared" ref="P19:P27" si="14">(L19-N19*D19*$B$14-O19*$B$13)/(E19*$B$14*1000)*100</f>
        <v>4.6678194524413632E-3</v>
      </c>
      <c r="Q19" s="114">
        <f t="shared" ref="Q19:Q27" si="15">N19*D19*$B$14+O19*$B$13+P19/100*E19*$B$14*1000</f>
        <v>10.875710022322853</v>
      </c>
      <c r="R19" s="109"/>
      <c r="S19" s="115">
        <f t="shared" ref="S19:S27" si="16">N19*D19*$B$14</f>
        <v>5.52823216</v>
      </c>
      <c r="T19" s="116">
        <f t="shared" si="7"/>
        <v>4.7053982682000006</v>
      </c>
      <c r="U19" s="116">
        <f t="shared" ref="U19:U27" si="17">P19/100*E19*$B$14*1000</f>
        <v>0.64207959412285032</v>
      </c>
      <c r="V19" s="116">
        <f t="shared" ref="V19:V26" si="18">SUM(S19:U19)</f>
        <v>10.875710022322853</v>
      </c>
      <c r="W19" s="116"/>
      <c r="X19" s="117">
        <f t="shared" ref="X19:X27" si="19">S19/V19</f>
        <v>0.50830999986695768</v>
      </c>
      <c r="Y19" s="117">
        <f t="shared" ref="Y19:Y27" si="20">T19/V19</f>
        <v>0.43265205292730063</v>
      </c>
      <c r="Z19" s="117">
        <f t="shared" ref="Z19:Z27" si="21">U19/V19</f>
        <v>5.9037947205741501E-2</v>
      </c>
      <c r="AC19" s="118"/>
      <c r="AG19" s="108" t="s">
        <v>50</v>
      </c>
      <c r="AH19" s="119"/>
      <c r="AI19" s="109">
        <v>1</v>
      </c>
      <c r="AJ19" s="109">
        <f>AI19*$B$4</f>
        <v>0.37</v>
      </c>
      <c r="AK19" s="109">
        <f>(-2.85*AI19+3.6)*((1-AI19)*3.9*$B$8^(-1.2))</f>
        <v>0</v>
      </c>
      <c r="AL19" s="110"/>
      <c r="AM19" s="66">
        <v>0.16600000000000001</v>
      </c>
      <c r="AN19" s="111">
        <v>2.5292979964461428E-3</v>
      </c>
      <c r="AO19" s="87">
        <f t="shared" ref="AO19:AO27" si="22">AT19*1000</f>
        <v>45166</v>
      </c>
      <c r="AP19" s="87">
        <f t="shared" ref="AP19:AP27" si="23">AM19*AO19</f>
        <v>7497.5560000000005</v>
      </c>
      <c r="AQ19" s="87">
        <f t="shared" ref="AQ19:AQ27" si="24">(AO19*AN19)/1000</f>
        <v>0.1142382733074865</v>
      </c>
      <c r="AR19" s="87">
        <f t="shared" ref="AR19:AR27" si="25">(AO19*$AH$14*$AH$7+$AH$5*$AH$14*AP19+$AH$14*$AH$11*AQ19*1000)/1000</f>
        <v>14.848123588936</v>
      </c>
      <c r="AS19" s="87">
        <f t="shared" ref="AS19:AS27" si="26">AR19/$AH$13</f>
        <v>17.50739128002396</v>
      </c>
      <c r="AT19" s="112">
        <v>45.165999999999997</v>
      </c>
      <c r="AU19" s="112">
        <f t="shared" ref="AU19:AU27" si="27">AT19*AM19</f>
        <v>7.4975559999999994</v>
      </c>
      <c r="AV19" s="113" t="e">
        <f t="shared" ref="AV19:AV27" si="28">(AR19-AT19*AJ19*$AH$14-AU19*$AH$13)/(AK19*$AH$14*1000)*100</f>
        <v>#DIV/0!</v>
      </c>
      <c r="AW19" s="114">
        <f t="shared" ref="AW19:AW27" si="29">AT19*AJ19*$AH$14+AU19*$AH$13</f>
        <v>14.848123588936001</v>
      </c>
      <c r="AX19" s="109"/>
      <c r="AY19" s="115">
        <f t="shared" ref="AY19:AY27" si="30">AT19*AJ19*$AH$14</f>
        <v>8.4894013600000005</v>
      </c>
      <c r="AZ19" s="116">
        <f t="shared" ref="AZ19:AZ27" si="31">AU19*$AH$13</f>
        <v>6.3587222289360001</v>
      </c>
      <c r="BA19" s="116" t="e">
        <f t="shared" ref="BA19:BA27" si="32">AV19/100*AK19*$AH$14*1000</f>
        <v>#DIV/0!</v>
      </c>
      <c r="BB19" s="116">
        <f t="shared" ref="BB19:BB27" si="33">SUM(AY19:AZ19)</f>
        <v>14.848123588936001</v>
      </c>
      <c r="BC19" s="116"/>
      <c r="BD19" s="117">
        <f t="shared" ref="BD19:BD27" si="34">AY19/BB19</f>
        <v>0.57174910413096447</v>
      </c>
      <c r="BE19" s="117">
        <f t="shared" ref="BE19:BE27" si="35">AZ19/BB19</f>
        <v>0.42825089586903542</v>
      </c>
      <c r="BF19" s="117" t="e">
        <f t="shared" ref="BF19" si="36">BA19/BB19</f>
        <v>#DIV/0!</v>
      </c>
    </row>
    <row r="20" spans="1:58" x14ac:dyDescent="0.3">
      <c r="A20" s="108" t="s">
        <v>51</v>
      </c>
      <c r="B20" s="119"/>
      <c r="C20" s="120">
        <v>0.88</v>
      </c>
      <c r="D20" s="109">
        <f>C20*$B$4</f>
        <v>0.3256</v>
      </c>
      <c r="E20" s="109">
        <f>(-2.85*C20+3.6)*((1-C20)*3.9*$B$8^(-1.2))</f>
        <v>14.951576628406734</v>
      </c>
      <c r="F20" s="110"/>
      <c r="G20" s="66">
        <v>0.22</v>
      </c>
      <c r="H20" s="111">
        <v>1.1694993910198723E-2</v>
      </c>
      <c r="I20" s="87">
        <f t="shared" si="8"/>
        <v>388</v>
      </c>
      <c r="J20" s="87">
        <f t="shared" si="9"/>
        <v>85.36</v>
      </c>
      <c r="K20" s="87">
        <f t="shared" si="10"/>
        <v>4.5376576371571045E-3</v>
      </c>
      <c r="L20" s="87">
        <f t="shared" si="11"/>
        <v>0.30975153940539513</v>
      </c>
      <c r="M20" s="87">
        <f t="shared" si="12"/>
        <v>0.20166903616377926</v>
      </c>
      <c r="N20" s="112">
        <v>0.38800000000000001</v>
      </c>
      <c r="O20" s="112">
        <f t="shared" si="13"/>
        <v>8.5360000000000005E-2</v>
      </c>
      <c r="P20" s="113">
        <f t="shared" si="14"/>
        <v>4.5376576371571026E-4</v>
      </c>
      <c r="Q20" s="114">
        <f t="shared" si="15"/>
        <v>0.30975153940539513</v>
      </c>
      <c r="R20" s="109"/>
      <c r="S20" s="115">
        <f t="shared" si="16"/>
        <v>0.116226176</v>
      </c>
      <c r="T20" s="116">
        <f t="shared" si="7"/>
        <v>0.13110783840000001</v>
      </c>
      <c r="U20" s="116">
        <f t="shared" si="17"/>
        <v>6.2417525005395109E-2</v>
      </c>
      <c r="V20" s="116">
        <f t="shared" si="18"/>
        <v>0.30975153940539513</v>
      </c>
      <c r="W20" s="116"/>
      <c r="X20" s="117">
        <f t="shared" si="19"/>
        <v>0.37522388499863457</v>
      </c>
      <c r="Y20" s="117">
        <f t="shared" si="20"/>
        <v>0.42326775405758138</v>
      </c>
      <c r="Z20" s="117">
        <f>U20/V20</f>
        <v>0.20150836094378405</v>
      </c>
      <c r="AC20" s="118"/>
      <c r="AG20" s="108" t="s">
        <v>51</v>
      </c>
      <c r="AH20" s="119"/>
      <c r="AI20" s="109">
        <v>1</v>
      </c>
      <c r="AJ20" s="109">
        <f>AI20*$B$4</f>
        <v>0.37</v>
      </c>
      <c r="AK20" s="109">
        <f>(-2.85*AI20+3.6)*((1-AI20)*3.9*$B$8^(-1.2))</f>
        <v>0</v>
      </c>
      <c r="AL20" s="110"/>
      <c r="AM20" s="66">
        <v>0.22</v>
      </c>
      <c r="AN20" s="111">
        <v>1.1694993910198723E-2</v>
      </c>
      <c r="AO20" s="87">
        <f t="shared" si="22"/>
        <v>3958</v>
      </c>
      <c r="AP20" s="87">
        <f t="shared" si="23"/>
        <v>870.76</v>
      </c>
      <c r="AQ20" s="87">
        <f t="shared" si="24"/>
        <v>4.6288785896566542E-2</v>
      </c>
      <c r="AR20" s="87">
        <f t="shared" si="25"/>
        <v>1.4824424605600002</v>
      </c>
      <c r="AS20" s="87">
        <f t="shared" si="26"/>
        <v>1.7479447858640313</v>
      </c>
      <c r="AT20" s="112">
        <v>3.9580000000000002</v>
      </c>
      <c r="AU20" s="112">
        <f t="shared" si="27"/>
        <v>0.87076000000000009</v>
      </c>
      <c r="AV20" s="113" t="e">
        <f t="shared" si="28"/>
        <v>#DIV/0!</v>
      </c>
      <c r="AW20" s="114">
        <f t="shared" si="29"/>
        <v>1.4824424605600002</v>
      </c>
      <c r="AX20" s="109"/>
      <c r="AY20" s="115">
        <f t="shared" si="30"/>
        <v>0.74394568000000005</v>
      </c>
      <c r="AZ20" s="116">
        <f t="shared" si="31"/>
        <v>0.73849678056000012</v>
      </c>
      <c r="BA20" s="116" t="e">
        <f t="shared" si="32"/>
        <v>#DIV/0!</v>
      </c>
      <c r="BB20" s="116">
        <f t="shared" si="33"/>
        <v>1.4824424605600002</v>
      </c>
      <c r="BC20" s="116"/>
      <c r="BD20" s="117">
        <f t="shared" si="34"/>
        <v>0.5018378114446147</v>
      </c>
      <c r="BE20" s="117">
        <f t="shared" si="35"/>
        <v>0.4981621885553853</v>
      </c>
      <c r="BF20" s="117" t="e">
        <f>BA20/BB20</f>
        <v>#DIV/0!</v>
      </c>
    </row>
    <row r="21" spans="1:58" x14ac:dyDescent="0.3">
      <c r="A21" s="121" t="s">
        <v>52</v>
      </c>
      <c r="B21" s="109"/>
      <c r="C21" s="120">
        <v>0.88</v>
      </c>
      <c r="D21" s="109">
        <f>C21*$B$4</f>
        <v>0.3256</v>
      </c>
      <c r="E21" s="109">
        <f>(-2.85*C21+3.6)*((1-C21)*3.9*$B$8^(-1.2))</f>
        <v>14.951576628406734</v>
      </c>
      <c r="F21" s="110"/>
      <c r="G21" s="66">
        <v>0.11799999999999999</v>
      </c>
      <c r="H21" s="111">
        <v>2.2803420720004172E-4</v>
      </c>
      <c r="I21" s="87">
        <f t="shared" si="8"/>
        <v>40158</v>
      </c>
      <c r="J21" s="87">
        <f t="shared" si="9"/>
        <v>4738.6439999999993</v>
      </c>
      <c r="K21" s="87">
        <f t="shared" si="10"/>
        <v>9.1573976927392751E-3</v>
      </c>
      <c r="L21" s="87">
        <f t="shared" si="11"/>
        <v>19.433646212014203</v>
      </c>
      <c r="M21" s="87">
        <f t="shared" si="12"/>
        <v>12.652607661766867</v>
      </c>
      <c r="N21" s="112">
        <v>40.158000000000001</v>
      </c>
      <c r="O21" s="112">
        <f t="shared" si="13"/>
        <v>4.7386439999999999</v>
      </c>
      <c r="P21" s="113">
        <f t="shared" si="14"/>
        <v>9.1573976927392944E-4</v>
      </c>
      <c r="Q21" s="114">
        <f t="shared" si="15"/>
        <v>19.433646212014203</v>
      </c>
      <c r="R21" s="109"/>
      <c r="S21" s="115">
        <f t="shared" si="16"/>
        <v>12.029409215999999</v>
      </c>
      <c r="T21" s="116">
        <f t="shared" si="7"/>
        <v>7.27827286536</v>
      </c>
      <c r="U21" s="116">
        <f t="shared" si="17"/>
        <v>0.12596413065420367</v>
      </c>
      <c r="V21" s="116">
        <f t="shared" si="18"/>
        <v>19.433646212014203</v>
      </c>
      <c r="W21" s="116"/>
      <c r="X21" s="117">
        <f t="shared" si="19"/>
        <v>0.61899908461661812</v>
      </c>
      <c r="Y21" s="117">
        <f t="shared" si="20"/>
        <v>0.37451916052997047</v>
      </c>
      <c r="Z21" s="117">
        <f t="shared" si="21"/>
        <v>6.4817548534114276E-3</v>
      </c>
      <c r="AC21" s="118"/>
      <c r="AG21" s="121" t="s">
        <v>52</v>
      </c>
      <c r="AH21" s="109"/>
      <c r="AI21" s="109">
        <v>1</v>
      </c>
      <c r="AJ21" s="109">
        <f>AI21*$B$4</f>
        <v>0.37</v>
      </c>
      <c r="AK21" s="109">
        <f>(-2.85*AI21+3.6)*((1-AI21)*3.9*$B$8^(-1.2))</f>
        <v>0</v>
      </c>
      <c r="AL21" s="110"/>
      <c r="AM21" s="66">
        <v>0.11799999999999999</v>
      </c>
      <c r="AN21" s="111">
        <v>2.2803420720004172E-4</v>
      </c>
      <c r="AO21" s="87">
        <f t="shared" si="22"/>
        <v>75792</v>
      </c>
      <c r="AP21" s="87">
        <f t="shared" si="23"/>
        <v>8943.4560000000001</v>
      </c>
      <c r="AQ21" s="87">
        <f t="shared" si="24"/>
        <v>1.728316863210556E-2</v>
      </c>
      <c r="AR21" s="87">
        <f t="shared" si="25"/>
        <v>21.830863014336</v>
      </c>
      <c r="AS21" s="87">
        <f t="shared" si="26"/>
        <v>25.740724643306379</v>
      </c>
      <c r="AT21" s="112">
        <v>75.792000000000002</v>
      </c>
      <c r="AU21" s="112">
        <f t="shared" si="27"/>
        <v>8.9434559999999994</v>
      </c>
      <c r="AV21" s="113" t="e">
        <f t="shared" si="28"/>
        <v>#DIV/0!</v>
      </c>
      <c r="AW21" s="114">
        <f t="shared" si="29"/>
        <v>21.830863014336</v>
      </c>
      <c r="AX21" s="109"/>
      <c r="AY21" s="115">
        <f t="shared" si="30"/>
        <v>14.245864320000001</v>
      </c>
      <c r="AZ21" s="116">
        <f t="shared" si="31"/>
        <v>7.5849986943359999</v>
      </c>
      <c r="BA21" s="116" t="e">
        <f t="shared" si="32"/>
        <v>#DIV/0!</v>
      </c>
      <c r="BB21" s="116">
        <f t="shared" si="33"/>
        <v>21.830863014336</v>
      </c>
      <c r="BC21" s="116"/>
      <c r="BD21" s="117">
        <f t="shared" si="34"/>
        <v>0.65255616833127283</v>
      </c>
      <c r="BE21" s="117">
        <f t="shared" si="35"/>
        <v>0.34744383166872722</v>
      </c>
      <c r="BF21" s="117" t="e">
        <f t="shared" ref="BF21" si="37">BA21/BB21</f>
        <v>#DIV/0!</v>
      </c>
    </row>
    <row r="22" spans="1:58" x14ac:dyDescent="0.3">
      <c r="A22" s="122" t="s">
        <v>53</v>
      </c>
      <c r="B22" s="109"/>
      <c r="C22" s="120">
        <v>0.88</v>
      </c>
      <c r="D22" s="109">
        <f>C22*$B$4</f>
        <v>0.3256</v>
      </c>
      <c r="E22" s="109">
        <f>(-2.85*C22+3.6)*((1-C22)*3.9*$B$8^(-1.2))</f>
        <v>14.951576628406734</v>
      </c>
      <c r="F22" s="123"/>
      <c r="G22" s="66">
        <v>0.13300000000000001</v>
      </c>
      <c r="H22" s="111">
        <v>7.7624711662869063E-4</v>
      </c>
      <c r="I22" s="87">
        <f t="shared" si="8"/>
        <v>25818</v>
      </c>
      <c r="J22" s="87">
        <f t="shared" si="9"/>
        <v>3433.7940000000003</v>
      </c>
      <c r="K22" s="87">
        <f t="shared" si="10"/>
        <v>2.0041148057119536E-2</v>
      </c>
      <c r="L22" s="87">
        <f t="shared" si="11"/>
        <v>13.283610112385485</v>
      </c>
      <c r="M22" s="87">
        <f t="shared" si="12"/>
        <v>8.6485214997887194</v>
      </c>
      <c r="N22" s="112">
        <v>25.818000000000001</v>
      </c>
      <c r="O22" s="112">
        <f t="shared" si="13"/>
        <v>3.4337940000000002</v>
      </c>
      <c r="P22" s="113">
        <f t="shared" si="14"/>
        <v>2.004114805711939E-3</v>
      </c>
      <c r="Q22" s="114">
        <f t="shared" si="15"/>
        <v>13.283610112385485</v>
      </c>
      <c r="R22" s="109"/>
      <c r="S22" s="115">
        <f t="shared" si="16"/>
        <v>7.7338335360000006</v>
      </c>
      <c r="T22" s="116">
        <f t="shared" si="7"/>
        <v>5.2741015563600007</v>
      </c>
      <c r="U22" s="116">
        <f t="shared" si="17"/>
        <v>0.27567502002548411</v>
      </c>
      <c r="V22" s="116">
        <f t="shared" si="18"/>
        <v>13.283610112385485</v>
      </c>
      <c r="W22" s="116"/>
      <c r="X22" s="117">
        <f t="shared" si="19"/>
        <v>0.58220871213233394</v>
      </c>
      <c r="Y22" s="117">
        <f t="shared" si="20"/>
        <v>0.39703826834261635</v>
      </c>
      <c r="Z22" s="117">
        <f>U22/V22</f>
        <v>2.0753019525049737E-2</v>
      </c>
      <c r="AC22" s="118"/>
      <c r="AG22" s="122" t="s">
        <v>53</v>
      </c>
      <c r="AH22" s="109"/>
      <c r="AI22" s="109">
        <v>1</v>
      </c>
      <c r="AJ22" s="109">
        <f>AI22*$B$4</f>
        <v>0.37</v>
      </c>
      <c r="AK22" s="109">
        <f>(-2.85*AI22+3.6)*((1-AI22)*3.9*$B$8^(-1.2))</f>
        <v>0</v>
      </c>
      <c r="AL22" s="123"/>
      <c r="AM22" s="66">
        <v>0.13300000000000001</v>
      </c>
      <c r="AN22" s="111">
        <v>7.7624711662869063E-4</v>
      </c>
      <c r="AO22" s="87">
        <f t="shared" si="22"/>
        <v>44241</v>
      </c>
      <c r="AP22" s="87">
        <f t="shared" si="23"/>
        <v>5884.0529999999999</v>
      </c>
      <c r="AQ22" s="87">
        <f t="shared" si="24"/>
        <v>3.4341948686769902E-2</v>
      </c>
      <c r="AR22" s="87">
        <f t="shared" si="25"/>
        <v>13.305839013618</v>
      </c>
      <c r="AS22" s="87">
        <f t="shared" si="26"/>
        <v>15.688886782569631</v>
      </c>
      <c r="AT22" s="112">
        <v>44.241</v>
      </c>
      <c r="AU22" s="112">
        <f t="shared" si="27"/>
        <v>5.8840530000000006</v>
      </c>
      <c r="AV22" s="113" t="e">
        <f t="shared" si="28"/>
        <v>#DIV/0!</v>
      </c>
      <c r="AW22" s="114">
        <f t="shared" si="29"/>
        <v>13.305839013618002</v>
      </c>
      <c r="AX22" s="109"/>
      <c r="AY22" s="115">
        <f t="shared" si="30"/>
        <v>8.3155383599999997</v>
      </c>
      <c r="AZ22" s="116">
        <f t="shared" si="31"/>
        <v>4.990300653618001</v>
      </c>
      <c r="BA22" s="116" t="e">
        <f t="shared" si="32"/>
        <v>#DIV/0!</v>
      </c>
      <c r="BB22" s="116">
        <f t="shared" si="33"/>
        <v>13.305839013618002</v>
      </c>
      <c r="BC22" s="116"/>
      <c r="BD22" s="117">
        <f t="shared" si="34"/>
        <v>0.62495407854321505</v>
      </c>
      <c r="BE22" s="117">
        <f t="shared" si="35"/>
        <v>0.37504592145678489</v>
      </c>
      <c r="BF22" s="117" t="e">
        <f>BA22/BB22</f>
        <v>#DIV/0!</v>
      </c>
    </row>
    <row r="23" spans="1:58" x14ac:dyDescent="0.3">
      <c r="A23" s="122" t="s">
        <v>54</v>
      </c>
      <c r="B23" s="109"/>
      <c r="C23" s="120">
        <v>0.88</v>
      </c>
      <c r="D23" s="109">
        <f t="shared" ref="D23:D27" si="38">C23*$B$4</f>
        <v>0.3256</v>
      </c>
      <c r="E23" s="109">
        <f t="shared" ref="E23:E27" si="39">(-2.85*C23+3.6)*((1-C23)*3.9*$B$8^(-1.2))</f>
        <v>14.951576628406734</v>
      </c>
      <c r="F23" s="123"/>
      <c r="G23" s="66">
        <v>0.122</v>
      </c>
      <c r="H23" s="111">
        <v>6.9984199600227391E-5</v>
      </c>
      <c r="I23" s="87">
        <f t="shared" si="8"/>
        <v>64998.999999999993</v>
      </c>
      <c r="J23" s="87">
        <f t="shared" si="9"/>
        <v>7929.8779999999988</v>
      </c>
      <c r="K23" s="87">
        <f t="shared" si="10"/>
        <v>4.54890298981518E-3</v>
      </c>
      <c r="L23" s="87">
        <f t="shared" si="11"/>
        <v>31.712969473217214</v>
      </c>
      <c r="M23" s="87">
        <f t="shared" si="12"/>
        <v>20.647271034817255</v>
      </c>
      <c r="N23" s="112">
        <v>64.998999999999995</v>
      </c>
      <c r="O23" s="112">
        <f t="shared" si="13"/>
        <v>7.9298779999999995</v>
      </c>
      <c r="P23" s="113">
        <f t="shared" si="14"/>
        <v>4.5489029898149137E-4</v>
      </c>
      <c r="Q23" s="114">
        <f t="shared" si="15"/>
        <v>31.712969473217214</v>
      </c>
      <c r="R23" s="109"/>
      <c r="S23" s="115">
        <f t="shared" si="16"/>
        <v>19.470580448</v>
      </c>
      <c r="T23" s="116">
        <f t="shared" si="7"/>
        <v>12.179816815320001</v>
      </c>
      <c r="U23" s="116">
        <f t="shared" si="17"/>
        <v>6.2572209897213682E-2</v>
      </c>
      <c r="V23" s="116">
        <f t="shared" si="18"/>
        <v>31.712969473217214</v>
      </c>
      <c r="W23" s="116"/>
      <c r="X23" s="117">
        <f t="shared" si="19"/>
        <v>0.61396270268678654</v>
      </c>
      <c r="Y23" s="117">
        <f t="shared" si="20"/>
        <v>0.3840642178149325</v>
      </c>
      <c r="Z23" s="117">
        <f t="shared" si="21"/>
        <v>1.9730794982809239E-3</v>
      </c>
      <c r="AC23" s="118"/>
      <c r="AG23" s="122" t="s">
        <v>54</v>
      </c>
      <c r="AH23" s="109"/>
      <c r="AI23" s="109">
        <v>1</v>
      </c>
      <c r="AJ23" s="109">
        <f t="shared" ref="AJ23:AJ27" si="40">AI23*$B$4</f>
        <v>0.37</v>
      </c>
      <c r="AK23" s="109">
        <f t="shared" ref="AK23:AK27" si="41">(-2.85*AI23+3.6)*((1-AI23)*3.9*$B$8^(-1.2))</f>
        <v>0</v>
      </c>
      <c r="AL23" s="123"/>
      <c r="AM23" s="66">
        <v>0.122</v>
      </c>
      <c r="AN23" s="111">
        <v>6.9984199600227391E-5</v>
      </c>
      <c r="AO23" s="87">
        <f t="shared" si="22"/>
        <v>125477</v>
      </c>
      <c r="AP23" s="87">
        <f t="shared" si="23"/>
        <v>15308.194</v>
      </c>
      <c r="AQ23" s="87">
        <f t="shared" si="24"/>
        <v>8.781407413237732E-3</v>
      </c>
      <c r="AR23" s="87">
        <f t="shared" si="25"/>
        <v>36.567628100564001</v>
      </c>
      <c r="AS23" s="87">
        <f t="shared" si="26"/>
        <v>43.116813347109911</v>
      </c>
      <c r="AT23" s="112">
        <v>125.477</v>
      </c>
      <c r="AU23" s="112">
        <f t="shared" si="27"/>
        <v>15.308194</v>
      </c>
      <c r="AV23" s="113" t="e">
        <f t="shared" si="28"/>
        <v>#DIV/0!</v>
      </c>
      <c r="AW23" s="114">
        <f t="shared" si="29"/>
        <v>36.567628100564001</v>
      </c>
      <c r="AX23" s="109"/>
      <c r="AY23" s="115">
        <f t="shared" si="30"/>
        <v>23.58465692</v>
      </c>
      <c r="AZ23" s="116">
        <f t="shared" si="31"/>
        <v>12.982971180564</v>
      </c>
      <c r="BA23" s="116" t="e">
        <f t="shared" si="32"/>
        <v>#DIV/0!</v>
      </c>
      <c r="BB23" s="116">
        <f t="shared" si="33"/>
        <v>36.567628100564001</v>
      </c>
      <c r="BC23" s="116"/>
      <c r="BD23" s="117">
        <f t="shared" si="34"/>
        <v>0.64495998633382079</v>
      </c>
      <c r="BE23" s="117">
        <f t="shared" si="35"/>
        <v>0.35504001366617916</v>
      </c>
      <c r="BF23" s="117" t="e">
        <f t="shared" ref="BF23:BF27" si="42">BA23/BB23</f>
        <v>#DIV/0!</v>
      </c>
    </row>
    <row r="24" spans="1:58" x14ac:dyDescent="0.3">
      <c r="A24" s="122" t="s">
        <v>55</v>
      </c>
      <c r="B24" s="109"/>
      <c r="C24" s="120">
        <v>0.88</v>
      </c>
      <c r="D24" s="109">
        <f t="shared" si="38"/>
        <v>0.3256</v>
      </c>
      <c r="E24" s="109">
        <f t="shared" si="39"/>
        <v>14.951576628406734</v>
      </c>
      <c r="F24" s="122"/>
      <c r="G24" s="66">
        <v>0.19400000000000001</v>
      </c>
      <c r="H24" s="111">
        <v>1.0543868963912584E-3</v>
      </c>
      <c r="I24" s="87">
        <f t="shared" si="8"/>
        <v>21822</v>
      </c>
      <c r="J24" s="87">
        <f t="shared" si="9"/>
        <v>4233.4679999999998</v>
      </c>
      <c r="K24" s="87">
        <f t="shared" si="10"/>
        <v>2.3008830853050038E-2</v>
      </c>
      <c r="L24" s="87">
        <f t="shared" si="11"/>
        <v>13.355673417739073</v>
      </c>
      <c r="M24" s="87">
        <f t="shared" si="12"/>
        <v>8.6954395469478438</v>
      </c>
      <c r="N24" s="112">
        <v>21.821999999999999</v>
      </c>
      <c r="O24" s="112">
        <f t="shared" si="13"/>
        <v>4.2334680000000002</v>
      </c>
      <c r="P24" s="113">
        <f t="shared" si="14"/>
        <v>2.3008830853050088E-3</v>
      </c>
      <c r="Q24" s="114">
        <f t="shared" si="15"/>
        <v>13.355673417739073</v>
      </c>
      <c r="R24" s="109"/>
      <c r="S24" s="115">
        <f t="shared" si="16"/>
        <v>6.5368237439999994</v>
      </c>
      <c r="T24" s="116">
        <f t="shared" si="7"/>
        <v>6.5023528399200003</v>
      </c>
      <c r="U24" s="116">
        <f t="shared" si="17"/>
        <v>0.31649683381907329</v>
      </c>
      <c r="V24" s="116">
        <f t="shared" si="18"/>
        <v>13.355673417739073</v>
      </c>
      <c r="W24" s="116"/>
      <c r="X24" s="117">
        <f t="shared" si="19"/>
        <v>0.48944171810294174</v>
      </c>
      <c r="Y24" s="117">
        <f t="shared" si="20"/>
        <v>0.48686072476761394</v>
      </c>
      <c r="Z24" s="117">
        <f t="shared" si="21"/>
        <v>2.3697557129444373E-2</v>
      </c>
      <c r="AC24" s="118"/>
      <c r="AG24" s="122" t="s">
        <v>55</v>
      </c>
      <c r="AH24" s="109"/>
      <c r="AI24" s="109">
        <v>1</v>
      </c>
      <c r="AJ24" s="109">
        <f t="shared" si="40"/>
        <v>0.37</v>
      </c>
      <c r="AK24" s="109">
        <f t="shared" si="41"/>
        <v>0</v>
      </c>
      <c r="AL24" s="122"/>
      <c r="AM24" s="66">
        <v>0.19400000000000001</v>
      </c>
      <c r="AN24" s="111">
        <v>1.0543868963912584E-3</v>
      </c>
      <c r="AO24" s="87">
        <f t="shared" si="22"/>
        <v>39621</v>
      </c>
      <c r="AP24" s="87">
        <f t="shared" si="23"/>
        <v>7686.4740000000002</v>
      </c>
      <c r="AQ24" s="87">
        <f t="shared" si="24"/>
        <v>4.1775863221918043E-2</v>
      </c>
      <c r="AR24" s="87">
        <f t="shared" si="25"/>
        <v>13.966107878243999</v>
      </c>
      <c r="AS24" s="87">
        <f t="shared" si="26"/>
        <v>16.467408411500447</v>
      </c>
      <c r="AT24" s="112">
        <v>39.621000000000002</v>
      </c>
      <c r="AU24" s="112">
        <f t="shared" si="27"/>
        <v>7.6864740000000005</v>
      </c>
      <c r="AV24" s="113" t="e">
        <f t="shared" si="28"/>
        <v>#DIV/0!</v>
      </c>
      <c r="AW24" s="114">
        <f t="shared" si="29"/>
        <v>13.966107878243999</v>
      </c>
      <c r="AX24" s="109"/>
      <c r="AY24" s="115">
        <f t="shared" si="30"/>
        <v>7.4471631599999997</v>
      </c>
      <c r="AZ24" s="116">
        <f t="shared" si="31"/>
        <v>6.5189447182440006</v>
      </c>
      <c r="BA24" s="116" t="e">
        <f t="shared" si="32"/>
        <v>#DIV/0!</v>
      </c>
      <c r="BB24" s="116">
        <f t="shared" si="33"/>
        <v>13.966107878243999</v>
      </c>
      <c r="BC24" s="116"/>
      <c r="BD24" s="117">
        <f t="shared" si="34"/>
        <v>0.53323110668513285</v>
      </c>
      <c r="BE24" s="117">
        <f t="shared" si="35"/>
        <v>0.46676889331486726</v>
      </c>
      <c r="BF24" s="117" t="e">
        <f t="shared" si="42"/>
        <v>#DIV/0!</v>
      </c>
    </row>
    <row r="25" spans="1:58" x14ac:dyDescent="0.3">
      <c r="A25" s="124" t="s">
        <v>56</v>
      </c>
      <c r="B25" s="109"/>
      <c r="C25" s="120">
        <v>0.88</v>
      </c>
      <c r="D25" s="109">
        <f t="shared" si="38"/>
        <v>0.3256</v>
      </c>
      <c r="E25" s="109">
        <f t="shared" si="39"/>
        <v>14.951576628406734</v>
      </c>
      <c r="F25" s="122"/>
      <c r="G25" s="66">
        <v>0.36799999999999999</v>
      </c>
      <c r="H25" s="111">
        <v>4.4668359215096279E-3</v>
      </c>
      <c r="I25" s="87">
        <f t="shared" si="8"/>
        <v>10396</v>
      </c>
      <c r="J25" s="87">
        <f t="shared" si="9"/>
        <v>3825.7280000000001</v>
      </c>
      <c r="K25" s="87">
        <f t="shared" si="10"/>
        <v>4.643722624001409E-2</v>
      </c>
      <c r="L25" s="87">
        <f t="shared" si="11"/>
        <v>9.6289962231351716</v>
      </c>
      <c r="M25" s="87">
        <f t="shared" si="12"/>
        <v>6.2691226370399695</v>
      </c>
      <c r="N25" s="112">
        <v>10.396000000000001</v>
      </c>
      <c r="O25" s="112">
        <f t="shared" si="13"/>
        <v>3.8257280000000002</v>
      </c>
      <c r="P25" s="113">
        <f t="shared" si="14"/>
        <v>4.643722624001396E-3</v>
      </c>
      <c r="Q25" s="114">
        <f t="shared" si="15"/>
        <v>9.6289962231351716</v>
      </c>
      <c r="R25" s="109"/>
      <c r="S25" s="115">
        <f t="shared" si="16"/>
        <v>3.1141425920000003</v>
      </c>
      <c r="T25" s="116">
        <f t="shared" si="7"/>
        <v>5.876088664320001</v>
      </c>
      <c r="U25" s="116">
        <f t="shared" si="17"/>
        <v>0.63876496681517037</v>
      </c>
      <c r="V25" s="116">
        <f t="shared" si="18"/>
        <v>9.6289962231351716</v>
      </c>
      <c r="W25" s="116"/>
      <c r="X25" s="117">
        <f t="shared" si="19"/>
        <v>0.3234130037893031</v>
      </c>
      <c r="Y25" s="117">
        <f t="shared" si="20"/>
        <v>0.61024934771516237</v>
      </c>
      <c r="Z25" s="117">
        <f t="shared" si="21"/>
        <v>6.6337648495534501E-2</v>
      </c>
      <c r="AC25" s="118"/>
      <c r="AG25" s="124" t="s">
        <v>56</v>
      </c>
      <c r="AH25" s="109"/>
      <c r="AI25" s="109">
        <v>1</v>
      </c>
      <c r="AJ25" s="109">
        <f t="shared" si="40"/>
        <v>0.37</v>
      </c>
      <c r="AK25" s="109">
        <f t="shared" si="41"/>
        <v>0</v>
      </c>
      <c r="AL25" s="122"/>
      <c r="AM25" s="66">
        <v>0.36799999999999999</v>
      </c>
      <c r="AN25" s="111">
        <v>4.4668359215096279E-3</v>
      </c>
      <c r="AO25" s="87">
        <f t="shared" si="22"/>
        <v>21524</v>
      </c>
      <c r="AP25" s="87">
        <f t="shared" si="23"/>
        <v>7920.8319999999994</v>
      </c>
      <c r="AQ25" s="87">
        <f t="shared" si="24"/>
        <v>9.6144176374573231E-2</v>
      </c>
      <c r="AR25" s="87">
        <f t="shared" si="25"/>
        <v>10.763356184192</v>
      </c>
      <c r="AS25" s="87">
        <f t="shared" si="26"/>
        <v>12.691050628331835</v>
      </c>
      <c r="AT25" s="112">
        <v>21.524000000000001</v>
      </c>
      <c r="AU25" s="112">
        <f t="shared" si="27"/>
        <v>7.9208319999999999</v>
      </c>
      <c r="AV25" s="113" t="e">
        <f t="shared" si="28"/>
        <v>#DIV/0!</v>
      </c>
      <c r="AW25" s="114">
        <f t="shared" si="29"/>
        <v>10.763356184192</v>
      </c>
      <c r="AX25" s="109"/>
      <c r="AY25" s="115">
        <f t="shared" si="30"/>
        <v>4.0456510400000001</v>
      </c>
      <c r="AZ25" s="116">
        <f t="shared" si="31"/>
        <v>6.7177051441920002</v>
      </c>
      <c r="BA25" s="116" t="e">
        <f t="shared" si="32"/>
        <v>#DIV/0!</v>
      </c>
      <c r="BB25" s="116">
        <f t="shared" si="33"/>
        <v>10.763356184192</v>
      </c>
      <c r="BC25" s="116"/>
      <c r="BD25" s="117">
        <f t="shared" si="34"/>
        <v>0.37587263403414956</v>
      </c>
      <c r="BE25" s="117">
        <f t="shared" si="35"/>
        <v>0.6241273659658505</v>
      </c>
      <c r="BF25" s="117" t="e">
        <f t="shared" si="42"/>
        <v>#DIV/0!</v>
      </c>
    </row>
    <row r="26" spans="1:58" x14ac:dyDescent="0.3">
      <c r="A26" s="124" t="s">
        <v>58</v>
      </c>
      <c r="B26" s="109"/>
      <c r="C26" s="120">
        <v>0.88</v>
      </c>
      <c r="D26" s="109">
        <f t="shared" si="38"/>
        <v>0.3256</v>
      </c>
      <c r="E26" s="109">
        <f t="shared" si="39"/>
        <v>14.951576628406734</v>
      </c>
      <c r="F26" s="109"/>
      <c r="G26" s="66">
        <v>0.22</v>
      </c>
      <c r="H26" s="111">
        <v>1.5205475297324944E-2</v>
      </c>
      <c r="I26" s="87">
        <f t="shared" si="8"/>
        <v>264</v>
      </c>
      <c r="J26" s="87">
        <f t="shared" si="9"/>
        <v>58.08</v>
      </c>
      <c r="K26" s="87">
        <f t="shared" si="10"/>
        <v>4.014245478493785E-3</v>
      </c>
      <c r="L26" s="87">
        <f t="shared" si="11"/>
        <v>0.22350687816678028</v>
      </c>
      <c r="M26" s="87">
        <f t="shared" si="12"/>
        <v>0.14551797476905365</v>
      </c>
      <c r="N26" s="112">
        <v>0.26400000000000001</v>
      </c>
      <c r="O26" s="112">
        <f t="shared" si="13"/>
        <v>5.808E-2</v>
      </c>
      <c r="P26" s="113">
        <f t="shared" si="14"/>
        <v>4.0142454784937844E-4</v>
      </c>
      <c r="Q26" s="114">
        <f t="shared" si="15"/>
        <v>0.22350687816678028</v>
      </c>
      <c r="R26" s="109"/>
      <c r="S26" s="115">
        <f t="shared" si="16"/>
        <v>7.9081728000000004E-2</v>
      </c>
      <c r="T26" s="116">
        <f t="shared" si="7"/>
        <v>8.9207395199999998E-2</v>
      </c>
      <c r="U26" s="116">
        <f t="shared" si="17"/>
        <v>5.5217754966780268E-2</v>
      </c>
      <c r="V26" s="116">
        <f t="shared" si="18"/>
        <v>0.22350687816678028</v>
      </c>
      <c r="W26" s="116"/>
      <c r="X26" s="117">
        <f t="shared" si="19"/>
        <v>0.35382234608900676</v>
      </c>
      <c r="Y26" s="117">
        <f t="shared" si="20"/>
        <v>0.39912595053756539</v>
      </c>
      <c r="Z26" s="117">
        <f t="shared" si="21"/>
        <v>0.2470517033734278</v>
      </c>
      <c r="AC26" s="118"/>
      <c r="AG26" s="124" t="s">
        <v>58</v>
      </c>
      <c r="AH26" s="109"/>
      <c r="AI26" s="109">
        <v>1</v>
      </c>
      <c r="AJ26" s="109">
        <f t="shared" si="40"/>
        <v>0.37</v>
      </c>
      <c r="AK26" s="109">
        <f t="shared" si="41"/>
        <v>0</v>
      </c>
      <c r="AL26" s="109"/>
      <c r="AM26" s="66">
        <v>0.22</v>
      </c>
      <c r="AN26" s="111">
        <v>1.5205475297324944E-2</v>
      </c>
      <c r="AO26" s="87">
        <f t="shared" si="22"/>
        <v>7219</v>
      </c>
      <c r="AP26" s="87">
        <f t="shared" si="23"/>
        <v>1588.18</v>
      </c>
      <c r="AQ26" s="87">
        <f t="shared" si="24"/>
        <v>0.10976832617138876</v>
      </c>
      <c r="AR26" s="87">
        <f t="shared" si="25"/>
        <v>2.7038282270799998</v>
      </c>
      <c r="AS26" s="87">
        <f t="shared" si="26"/>
        <v>3.1880781731057199</v>
      </c>
      <c r="AT26" s="112">
        <v>7.2190000000000003</v>
      </c>
      <c r="AU26" s="112">
        <f t="shared" si="27"/>
        <v>1.5881800000000001</v>
      </c>
      <c r="AV26" s="113" t="e">
        <f t="shared" si="28"/>
        <v>#DIV/0!</v>
      </c>
      <c r="AW26" s="114">
        <f t="shared" si="29"/>
        <v>2.7038282270799998</v>
      </c>
      <c r="AX26" s="109"/>
      <c r="AY26" s="115">
        <f t="shared" si="30"/>
        <v>1.3568832399999999</v>
      </c>
      <c r="AZ26" s="116">
        <f t="shared" si="31"/>
        <v>1.3469449870800001</v>
      </c>
      <c r="BA26" s="116" t="e">
        <f t="shared" si="32"/>
        <v>#DIV/0!</v>
      </c>
      <c r="BB26" s="116">
        <f t="shared" si="33"/>
        <v>2.7038282270799998</v>
      </c>
      <c r="BC26" s="116"/>
      <c r="BD26" s="117">
        <f t="shared" si="34"/>
        <v>0.5018378114446147</v>
      </c>
      <c r="BE26" s="117">
        <f t="shared" si="35"/>
        <v>0.49816218855538535</v>
      </c>
      <c r="BF26" s="117" t="e">
        <f t="shared" si="42"/>
        <v>#DIV/0!</v>
      </c>
    </row>
    <row r="27" spans="1:58" x14ac:dyDescent="0.3">
      <c r="A27" s="124" t="s">
        <v>57</v>
      </c>
      <c r="B27" s="109"/>
      <c r="C27" s="120">
        <v>0.88</v>
      </c>
      <c r="D27" s="109">
        <f t="shared" si="38"/>
        <v>0.3256</v>
      </c>
      <c r="E27" s="109">
        <f t="shared" si="39"/>
        <v>14.951576628406734</v>
      </c>
      <c r="F27" s="109"/>
      <c r="G27" s="66">
        <v>0.24199999999999999</v>
      </c>
      <c r="H27" s="111">
        <v>4.4668359215096279E-3</v>
      </c>
      <c r="I27" s="87">
        <f t="shared" si="8"/>
        <v>199</v>
      </c>
      <c r="J27" s="87">
        <f t="shared" si="9"/>
        <v>48.158000000000001</v>
      </c>
      <c r="K27" s="87">
        <f t="shared" si="10"/>
        <v>8.8890034838041596E-4</v>
      </c>
      <c r="L27" s="87">
        <f t="shared" si="11"/>
        <v>0.14580587125992106</v>
      </c>
      <c r="M27" s="87">
        <f t="shared" si="12"/>
        <v>9.4929405614751258E-2</v>
      </c>
      <c r="N27" s="112">
        <v>0.19900000000000001</v>
      </c>
      <c r="O27" s="112">
        <f t="shared" si="13"/>
        <v>4.8157999999999999E-2</v>
      </c>
      <c r="P27" s="113">
        <f t="shared" si="14"/>
        <v>8.8890034838041683E-5</v>
      </c>
      <c r="Q27" s="114">
        <f t="shared" si="15"/>
        <v>0.14580587125992109</v>
      </c>
      <c r="R27" s="109"/>
      <c r="S27" s="115">
        <f t="shared" si="16"/>
        <v>5.9610848000000001E-2</v>
      </c>
      <c r="T27" s="116">
        <f t="shared" si="7"/>
        <v>7.3967798520000003E-2</v>
      </c>
      <c r="U27" s="116">
        <f t="shared" si="17"/>
        <v>1.2227224739921065E-2</v>
      </c>
      <c r="V27" s="116">
        <f t="shared" ref="V27" si="43">SUM(S27:U27)</f>
        <v>0.14580587125992109</v>
      </c>
      <c r="W27" s="116"/>
      <c r="X27" s="117">
        <f t="shared" si="19"/>
        <v>0.408837089239943</v>
      </c>
      <c r="Y27" s="117">
        <f t="shared" si="20"/>
        <v>0.50730329225317117</v>
      </c>
      <c r="Z27" s="117">
        <f t="shared" si="21"/>
        <v>8.3859618506885655E-2</v>
      </c>
      <c r="AC27" s="118"/>
      <c r="AG27" s="124" t="s">
        <v>57</v>
      </c>
      <c r="AH27" s="109"/>
      <c r="AI27" s="109">
        <v>1</v>
      </c>
      <c r="AJ27" s="109">
        <f t="shared" si="40"/>
        <v>0.37</v>
      </c>
      <c r="AK27" s="109">
        <f t="shared" si="41"/>
        <v>0</v>
      </c>
      <c r="AL27" s="109"/>
      <c r="AM27" s="66">
        <v>0.24199999999999999</v>
      </c>
      <c r="AN27" s="111">
        <v>4.4668359215096279E-3</v>
      </c>
      <c r="AO27" s="87">
        <f t="shared" si="22"/>
        <v>1140</v>
      </c>
      <c r="AP27" s="87">
        <f t="shared" si="23"/>
        <v>275.88</v>
      </c>
      <c r="AQ27" s="87">
        <f t="shared" si="24"/>
        <v>5.0921929505209759E-3</v>
      </c>
      <c r="AR27" s="87">
        <f t="shared" si="25"/>
        <v>0.44824988327999993</v>
      </c>
      <c r="AS27" s="87">
        <f t="shared" si="26"/>
        <v>0.52853049415992803</v>
      </c>
      <c r="AT27" s="112">
        <v>1.1399999999999999</v>
      </c>
      <c r="AU27" s="112">
        <f t="shared" si="27"/>
        <v>0.27587999999999996</v>
      </c>
      <c r="AV27" s="113" t="e">
        <f t="shared" si="28"/>
        <v>#DIV/0!</v>
      </c>
      <c r="AW27" s="114">
        <f t="shared" si="29"/>
        <v>0.44824988327999993</v>
      </c>
      <c r="AX27" s="109"/>
      <c r="AY27" s="115">
        <f t="shared" si="30"/>
        <v>0.21427439999999998</v>
      </c>
      <c r="AZ27" s="116">
        <f t="shared" si="31"/>
        <v>0.23397548327999998</v>
      </c>
      <c r="BA27" s="116" t="e">
        <f t="shared" si="32"/>
        <v>#DIV/0!</v>
      </c>
      <c r="BB27" s="116">
        <f t="shared" si="33"/>
        <v>0.44824988327999993</v>
      </c>
      <c r="BC27" s="116"/>
      <c r="BD27" s="117">
        <f t="shared" si="34"/>
        <v>0.47802444126048588</v>
      </c>
      <c r="BE27" s="117">
        <f t="shared" si="35"/>
        <v>0.52197555873951418</v>
      </c>
      <c r="BF27" s="117" t="e">
        <f t="shared" si="42"/>
        <v>#DIV/0!</v>
      </c>
    </row>
    <row r="30" spans="1:58" ht="18" x14ac:dyDescent="0.35">
      <c r="A30" s="70" t="s">
        <v>92</v>
      </c>
    </row>
    <row r="31" spans="1:58" ht="21" x14ac:dyDescent="0.4">
      <c r="A31" s="71" t="s">
        <v>144</v>
      </c>
    </row>
    <row r="32" spans="1:58" x14ac:dyDescent="0.3">
      <c r="A32" s="30" t="s">
        <v>103</v>
      </c>
      <c r="B32" s="77" t="s">
        <v>104</v>
      </c>
    </row>
    <row r="33" spans="1:26" x14ac:dyDescent="0.3">
      <c r="A33" t="s">
        <v>105</v>
      </c>
      <c r="B33">
        <v>0.37</v>
      </c>
    </row>
    <row r="34" spans="1:26" x14ac:dyDescent="0.3">
      <c r="A34" t="s">
        <v>106</v>
      </c>
      <c r="B34">
        <f>2.65*(1-B33)</f>
        <v>1.6695</v>
      </c>
    </row>
    <row r="35" spans="1:26" x14ac:dyDescent="0.3">
      <c r="A35" t="s">
        <v>107</v>
      </c>
      <c r="B35">
        <v>0.88</v>
      </c>
    </row>
    <row r="36" spans="1:26" x14ac:dyDescent="0.3">
      <c r="A36" t="s">
        <v>108</v>
      </c>
      <c r="B36">
        <f>B33*B35</f>
        <v>0.3256</v>
      </c>
    </row>
    <row r="37" spans="1:26" x14ac:dyDescent="0.3">
      <c r="A37" t="s">
        <v>109</v>
      </c>
      <c r="B37">
        <v>0.06</v>
      </c>
    </row>
    <row r="38" spans="1:26" x14ac:dyDescent="0.3">
      <c r="A38" s="87"/>
      <c r="B38" s="87"/>
    </row>
    <row r="39" spans="1:26" x14ac:dyDescent="0.3">
      <c r="A39" s="87"/>
      <c r="B39" s="87"/>
    </row>
    <row r="40" spans="1:26" ht="16.2" x14ac:dyDescent="0.3">
      <c r="A40" t="s">
        <v>110</v>
      </c>
      <c r="B40">
        <f>(-2.85*B35+3.6)*((1-B35)*3.9*B37^(-1.2))</f>
        <v>14.951576628406734</v>
      </c>
    </row>
    <row r="41" spans="1:26" x14ac:dyDescent="0.3">
      <c r="A41" s="87"/>
      <c r="B41" s="87"/>
    </row>
    <row r="42" spans="1:26" x14ac:dyDescent="0.3">
      <c r="A42" t="s">
        <v>111</v>
      </c>
      <c r="B42">
        <f>B34*B43</f>
        <v>1.3356000000000001</v>
      </c>
    </row>
    <row r="43" spans="1:26" x14ac:dyDescent="0.3">
      <c r="A43" t="s">
        <v>145</v>
      </c>
      <c r="B43">
        <v>0.8</v>
      </c>
    </row>
    <row r="45" spans="1:26" x14ac:dyDescent="0.3">
      <c r="C45" s="96"/>
      <c r="D45" s="96"/>
      <c r="E45" s="97"/>
      <c r="F45" s="189"/>
      <c r="G45" s="189"/>
      <c r="N45" s="190" t="s">
        <v>114</v>
      </c>
      <c r="O45" s="190"/>
      <c r="P45" s="190"/>
      <c r="Q45" s="100"/>
      <c r="S45" s="191" t="s">
        <v>115</v>
      </c>
      <c r="T45" s="191"/>
      <c r="U45" s="191"/>
      <c r="V45" s="191"/>
      <c r="X45" t="s">
        <v>116</v>
      </c>
    </row>
    <row r="46" spans="1:26" ht="28.8" x14ac:dyDescent="0.3">
      <c r="C46" s="101" t="s">
        <v>117</v>
      </c>
      <c r="D46" s="102" t="s">
        <v>118</v>
      </c>
      <c r="E46" s="102" t="s">
        <v>119</v>
      </c>
      <c r="F46" s="101"/>
      <c r="G46" s="103" t="s">
        <v>120</v>
      </c>
      <c r="H46" s="102" t="s">
        <v>121</v>
      </c>
      <c r="I46" s="104" t="s">
        <v>122</v>
      </c>
      <c r="J46" s="104" t="s">
        <v>123</v>
      </c>
      <c r="K46" s="105" t="s">
        <v>124</v>
      </c>
      <c r="L46" s="104" t="s">
        <v>125</v>
      </c>
      <c r="M46" s="106" t="s">
        <v>126</v>
      </c>
      <c r="N46" s="107" t="s">
        <v>127</v>
      </c>
      <c r="O46" s="98" t="s">
        <v>128</v>
      </c>
      <c r="P46" s="98" t="s">
        <v>129</v>
      </c>
      <c r="Q46" s="102" t="s">
        <v>130</v>
      </c>
      <c r="S46" s="102" t="s">
        <v>131</v>
      </c>
      <c r="T46" s="98" t="s">
        <v>132</v>
      </c>
      <c r="U46" s="98" t="s">
        <v>133</v>
      </c>
      <c r="V46" s="102" t="s">
        <v>134</v>
      </c>
      <c r="X46" s="102" t="s">
        <v>131</v>
      </c>
      <c r="Y46" s="98" t="s">
        <v>132</v>
      </c>
      <c r="Z46" s="98" t="s">
        <v>133</v>
      </c>
    </row>
    <row r="47" spans="1:26" x14ac:dyDescent="0.3">
      <c r="A47" s="19" t="s">
        <v>135</v>
      </c>
      <c r="B47" s="98"/>
      <c r="C47" s="101" t="s">
        <v>136</v>
      </c>
      <c r="D47" t="s">
        <v>136</v>
      </c>
      <c r="E47" t="s">
        <v>137</v>
      </c>
      <c r="F47" s="101"/>
      <c r="G47" s="103" t="s">
        <v>88</v>
      </c>
      <c r="H47" s="102" t="s">
        <v>12</v>
      </c>
      <c r="I47" s="87"/>
      <c r="J47" s="87"/>
      <c r="K47" s="87"/>
      <c r="L47" s="87"/>
      <c r="M47" s="87" t="s">
        <v>138</v>
      </c>
      <c r="N47" s="102" t="s">
        <v>139</v>
      </c>
      <c r="O47" s="99" t="s">
        <v>140</v>
      </c>
      <c r="P47" s="99" t="s">
        <v>141</v>
      </c>
      <c r="Q47" s="99" t="s">
        <v>142</v>
      </c>
      <c r="S47" s="99" t="s">
        <v>143</v>
      </c>
      <c r="T47" s="99" t="s">
        <v>143</v>
      </c>
      <c r="U47" s="99" t="s">
        <v>142</v>
      </c>
      <c r="V47" s="102" t="s">
        <v>142</v>
      </c>
      <c r="X47" s="102"/>
      <c r="Y47" s="98"/>
      <c r="Z47" s="98"/>
    </row>
    <row r="48" spans="1:26" x14ac:dyDescent="0.3">
      <c r="A48" s="108" t="s">
        <v>49</v>
      </c>
      <c r="B48" s="109"/>
      <c r="C48" s="109">
        <v>0.88</v>
      </c>
      <c r="D48" s="109">
        <f>C48*$B$4</f>
        <v>0.3256</v>
      </c>
      <c r="E48" s="109">
        <f>(-2.85*C48+3.6)*((1-C48)*3.9*$B$8^(-1.2))</f>
        <v>14.951576628406734</v>
      </c>
      <c r="F48" s="110"/>
      <c r="G48" s="66">
        <v>8.0000000000000002E-3</v>
      </c>
      <c r="H48" s="111">
        <v>9.506047936562795E-5</v>
      </c>
      <c r="I48" s="87">
        <f>N48*1000</f>
        <v>373</v>
      </c>
      <c r="J48" s="87">
        <f>G48*I48</f>
        <v>2.984</v>
      </c>
      <c r="K48" s="87">
        <f>(I48*H48)/1000</f>
        <v>3.5457558803379223E-5</v>
      </c>
      <c r="L48" s="87">
        <f>(I48*$B$43*$B$36+$B$34*$B$43*J48+$B$43*$B$40*K48*1000)/1000</f>
        <v>0.10156858752600396</v>
      </c>
      <c r="M48" s="87">
        <f>L48/$B$42</f>
        <v>7.604716047170107E-2</v>
      </c>
      <c r="N48" s="112">
        <v>0.373</v>
      </c>
      <c r="O48" s="112">
        <f>N48*G48</f>
        <v>2.9840000000000001E-3</v>
      </c>
      <c r="P48" s="113">
        <f>(L48-N48*D48*$B$43-O48*$B$42)/(E48*$B$43*1000)*100</f>
        <v>3.5457558803378527E-6</v>
      </c>
      <c r="Q48" s="114">
        <f>N48*D48*$B$43+O48*$B$42+P48/100*E48*$B$43*1000</f>
        <v>0.10156858752600396</v>
      </c>
      <c r="R48" s="109"/>
      <c r="S48" s="115">
        <f>N48*D48*$B$43</f>
        <v>9.7159040000000002E-2</v>
      </c>
      <c r="T48" s="116">
        <f>O48*$B$42</f>
        <v>3.9854304000000009E-3</v>
      </c>
      <c r="U48" s="116">
        <f>P48/100*E48*$B$43*1000</f>
        <v>4.241171260039615E-4</v>
      </c>
      <c r="V48" s="116">
        <f>SUM(S48:U48)</f>
        <v>0.10156858752600396</v>
      </c>
      <c r="W48" s="116"/>
      <c r="X48" s="117">
        <f>S48/V48</f>
        <v>0.95658551887536081</v>
      </c>
      <c r="Y48" s="117">
        <f>T48/V48</f>
        <v>3.9238808937651477E-2</v>
      </c>
      <c r="Z48" s="117">
        <f>U48/V48</f>
        <v>4.1756721869877092E-3</v>
      </c>
    </row>
    <row r="49" spans="1:26" x14ac:dyDescent="0.3">
      <c r="A49" s="108" t="s">
        <v>50</v>
      </c>
      <c r="B49" s="119"/>
      <c r="C49" s="120">
        <v>0.88</v>
      </c>
      <c r="D49" s="109">
        <f>C49*$B$4</f>
        <v>0.3256</v>
      </c>
      <c r="E49" s="109">
        <f>(-2.85*C49+3.6)*((1-C49)*3.9*$B$8^(-1.2))</f>
        <v>14.951576628406734</v>
      </c>
      <c r="F49" s="110"/>
      <c r="G49" s="66">
        <v>0.16600000000000001</v>
      </c>
      <c r="H49" s="111">
        <v>2.5292979964461428E-3</v>
      </c>
      <c r="I49" s="87">
        <f t="shared" ref="I49:I57" si="44">N49*1000</f>
        <v>4878</v>
      </c>
      <c r="J49" s="87">
        <f t="shared" ref="J49:J57" si="45">G49*I49</f>
        <v>809.74800000000005</v>
      </c>
      <c r="K49" s="87">
        <f t="shared" ref="K49:K57" si="46">(I49*H49)/1000</f>
        <v>1.2337915626664286E-2</v>
      </c>
      <c r="L49" s="87">
        <f t="shared" ref="L49:L57" si="47">(I49*$B$43*$B$36+$B$34*$B$43*J49+$B$43*$B$40*K49*1000)/1000</f>
        <v>2.4996979015415111</v>
      </c>
      <c r="M49" s="87">
        <f t="shared" ref="M49:M57" si="48">L49/$B$42</f>
        <v>1.8715917202317391</v>
      </c>
      <c r="N49" s="112">
        <v>4.8780000000000001</v>
      </c>
      <c r="O49" s="112">
        <f t="shared" ref="O49:O57" si="49">N49*G49</f>
        <v>0.80974800000000002</v>
      </c>
      <c r="P49" s="113">
        <f t="shared" ref="P49:P57" si="50">(L49-N49*D49*$B$43-O49*$B$42)/(E49*$B$43*1000)*100</f>
        <v>1.2337915626664312E-3</v>
      </c>
      <c r="Q49" s="114">
        <f t="shared" ref="Q49:Q57" si="51">N49*D49*$B$43+O49*$B$42+P49/100*E49*$B$43*1000</f>
        <v>2.4996979015415111</v>
      </c>
      <c r="R49" s="109"/>
      <c r="S49" s="115">
        <f t="shared" ref="S49:S57" si="52">N49*D49*$B$43</f>
        <v>1.2706214400000002</v>
      </c>
      <c r="T49" s="116">
        <f t="shared" ref="T49:T57" si="53">O49*$B$42</f>
        <v>1.0814994288000002</v>
      </c>
      <c r="U49" s="116">
        <f t="shared" ref="U49:U57" si="54">P49/100*E49*$B$43*1000</f>
        <v>0.14757703274151071</v>
      </c>
      <c r="V49" s="116">
        <f t="shared" ref="V49:V56" si="55">SUM(S49:U49)</f>
        <v>2.4996979015415111</v>
      </c>
      <c r="W49" s="116"/>
      <c r="X49" s="117">
        <f t="shared" ref="X49:X57" si="56">S49/V49</f>
        <v>0.5083099998669578</v>
      </c>
      <c r="Y49" s="117">
        <f t="shared" ref="Y49:Y57" si="57">T49/V49</f>
        <v>0.43265205292730063</v>
      </c>
      <c r="Z49" s="117">
        <f t="shared" ref="Z49" si="58">U49/V49</f>
        <v>5.903794720574157E-2</v>
      </c>
    </row>
    <row r="50" spans="1:26" x14ac:dyDescent="0.3">
      <c r="A50" s="108" t="s">
        <v>51</v>
      </c>
      <c r="B50" s="119"/>
      <c r="C50" s="120">
        <v>0.88</v>
      </c>
      <c r="D50" s="109">
        <f>C50*$B$4</f>
        <v>0.3256</v>
      </c>
      <c r="E50" s="109">
        <f>(-2.85*C50+3.6)*((1-C50)*3.9*$B$8^(-1.2))</f>
        <v>14.951576628406734</v>
      </c>
      <c r="F50" s="110"/>
      <c r="G50" s="66">
        <v>0.22</v>
      </c>
      <c r="H50" s="111">
        <v>1.1694993910198723E-2</v>
      </c>
      <c r="I50" s="87">
        <f t="shared" si="44"/>
        <v>58</v>
      </c>
      <c r="J50" s="87">
        <f t="shared" si="45"/>
        <v>12.76</v>
      </c>
      <c r="K50" s="87">
        <f t="shared" si="46"/>
        <v>6.7830964679152592E-4</v>
      </c>
      <c r="L50" s="87">
        <f t="shared" si="47"/>
        <v>4.0263534929432805E-2</v>
      </c>
      <c r="M50" s="87">
        <f t="shared" si="48"/>
        <v>3.0146402313142258E-2</v>
      </c>
      <c r="N50" s="112">
        <v>5.8000000000000003E-2</v>
      </c>
      <c r="O50" s="112">
        <f t="shared" si="49"/>
        <v>1.2760000000000001E-2</v>
      </c>
      <c r="P50" s="113">
        <f t="shared" si="50"/>
        <v>6.7830964679152565E-5</v>
      </c>
      <c r="Q50" s="114">
        <f t="shared" si="51"/>
        <v>4.0263534929432805E-2</v>
      </c>
      <c r="R50" s="109"/>
      <c r="S50" s="115">
        <f t="shared" si="52"/>
        <v>1.5107840000000001E-2</v>
      </c>
      <c r="T50" s="116">
        <f t="shared" si="53"/>
        <v>1.7042256000000002E-2</v>
      </c>
      <c r="U50" s="116">
        <f t="shared" si="54"/>
        <v>8.1134389294328021E-3</v>
      </c>
      <c r="V50" s="116">
        <f t="shared" si="55"/>
        <v>4.0263534929432805E-2</v>
      </c>
      <c r="W50" s="116"/>
      <c r="X50" s="117">
        <f t="shared" si="56"/>
        <v>0.37522388499863457</v>
      </c>
      <c r="Y50" s="117">
        <f t="shared" si="57"/>
        <v>0.42326775405758138</v>
      </c>
      <c r="Z50" s="117">
        <f>U50/V50</f>
        <v>0.20150836094378405</v>
      </c>
    </row>
    <row r="51" spans="1:26" x14ac:dyDescent="0.3">
      <c r="A51" s="121" t="s">
        <v>52</v>
      </c>
      <c r="B51" s="109"/>
      <c r="C51" s="120">
        <v>0.88</v>
      </c>
      <c r="D51" s="109">
        <f>C51*$B$4</f>
        <v>0.3256</v>
      </c>
      <c r="E51" s="109">
        <f>(-2.85*C51+3.6)*((1-C51)*3.9*$B$8^(-1.2))</f>
        <v>14.951576628406734</v>
      </c>
      <c r="F51" s="110"/>
      <c r="G51" s="66">
        <v>0.11799999999999999</v>
      </c>
      <c r="H51" s="111">
        <v>2.2803420720004172E-4</v>
      </c>
      <c r="I51" s="87">
        <f t="shared" si="44"/>
        <v>1780</v>
      </c>
      <c r="J51" s="87">
        <f t="shared" si="45"/>
        <v>210.04</v>
      </c>
      <c r="K51" s="87">
        <f t="shared" si="46"/>
        <v>4.0590088881607429E-4</v>
      </c>
      <c r="L51" s="87">
        <f t="shared" si="47"/>
        <v>0.74903891059413752</v>
      </c>
      <c r="M51" s="87">
        <f t="shared" si="48"/>
        <v>0.56082577912109721</v>
      </c>
      <c r="N51" s="112">
        <v>1.78</v>
      </c>
      <c r="O51" s="112">
        <f t="shared" si="49"/>
        <v>0.21004</v>
      </c>
      <c r="P51" s="113">
        <f t="shared" si="50"/>
        <v>4.0590088881606762E-5</v>
      </c>
      <c r="Q51" s="114">
        <f t="shared" si="51"/>
        <v>0.74903891059413752</v>
      </c>
      <c r="R51" s="109"/>
      <c r="S51" s="115">
        <f t="shared" si="52"/>
        <v>0.46365440000000002</v>
      </c>
      <c r="T51" s="116">
        <f t="shared" si="53"/>
        <v>0.28052942400000003</v>
      </c>
      <c r="U51" s="116">
        <f t="shared" si="54"/>
        <v>4.8550865941374699E-3</v>
      </c>
      <c r="V51" s="116">
        <f t="shared" si="55"/>
        <v>0.74903891059413752</v>
      </c>
      <c r="W51" s="116"/>
      <c r="X51" s="117">
        <f t="shared" si="56"/>
        <v>0.61899908461661812</v>
      </c>
      <c r="Y51" s="117">
        <f t="shared" si="57"/>
        <v>0.37451916052997053</v>
      </c>
      <c r="Z51" s="117">
        <f t="shared" ref="Z51" si="59">U51/V51</f>
        <v>6.4817548534113079E-3</v>
      </c>
    </row>
    <row r="52" spans="1:26" x14ac:dyDescent="0.3">
      <c r="A52" s="122" t="s">
        <v>53</v>
      </c>
      <c r="B52" s="109"/>
      <c r="C52" s="120">
        <v>0.88</v>
      </c>
      <c r="D52" s="109">
        <f>C52*$B$4</f>
        <v>0.3256</v>
      </c>
      <c r="E52" s="109">
        <f>(-2.85*C52+3.6)*((1-C52)*3.9*$B$8^(-1.2))</f>
        <v>14.951576628406734</v>
      </c>
      <c r="F52" s="123"/>
      <c r="G52" s="66">
        <v>0.13300000000000001</v>
      </c>
      <c r="H52" s="111">
        <v>7.7624711662869063E-4</v>
      </c>
      <c r="I52" s="87">
        <f t="shared" si="44"/>
        <v>12618</v>
      </c>
      <c r="J52" s="87">
        <f t="shared" si="45"/>
        <v>1678.1940000000002</v>
      </c>
      <c r="K52" s="87">
        <f t="shared" si="46"/>
        <v>9.794686117620818E-3</v>
      </c>
      <c r="L52" s="87">
        <f t="shared" si="47"/>
        <v>5.6452893464310412</v>
      </c>
      <c r="M52" s="87">
        <f t="shared" si="48"/>
        <v>4.2267814813050615</v>
      </c>
      <c r="N52" s="112">
        <v>12.618</v>
      </c>
      <c r="O52" s="112">
        <f t="shared" si="49"/>
        <v>1.6781940000000002</v>
      </c>
      <c r="P52" s="113">
        <f t="shared" si="50"/>
        <v>9.7946861176208743E-4</v>
      </c>
      <c r="Q52" s="114">
        <f t="shared" si="51"/>
        <v>5.6452893464310412</v>
      </c>
      <c r="R52" s="109"/>
      <c r="S52" s="115">
        <f t="shared" si="52"/>
        <v>3.2867366400000004</v>
      </c>
      <c r="T52" s="116">
        <f t="shared" si="53"/>
        <v>2.2413959064000006</v>
      </c>
      <c r="U52" s="116">
        <f t="shared" si="54"/>
        <v>0.11715680003104013</v>
      </c>
      <c r="V52" s="116">
        <f t="shared" si="55"/>
        <v>5.6452893464310412</v>
      </c>
      <c r="W52" s="116"/>
      <c r="X52" s="117">
        <f t="shared" si="56"/>
        <v>0.58220871213233372</v>
      </c>
      <c r="Y52" s="117">
        <f t="shared" si="57"/>
        <v>0.3970382683426163</v>
      </c>
      <c r="Z52" s="117">
        <f>U52/V52</f>
        <v>2.0753019525049998E-2</v>
      </c>
    </row>
    <row r="53" spans="1:26" x14ac:dyDescent="0.3">
      <c r="A53" s="122" t="s">
        <v>54</v>
      </c>
      <c r="B53" s="109"/>
      <c r="C53" s="120">
        <v>0.88</v>
      </c>
      <c r="D53" s="109">
        <f t="shared" ref="D53:D57" si="60">C53*$B$4</f>
        <v>0.3256</v>
      </c>
      <c r="E53" s="109">
        <f t="shared" ref="E53:E57" si="61">(-2.85*C53+3.6)*((1-C53)*3.9*$B$8^(-1.2))</f>
        <v>14.951576628406734</v>
      </c>
      <c r="F53" s="123"/>
      <c r="G53" s="66">
        <v>0.122</v>
      </c>
      <c r="H53" s="111">
        <v>6.9984199600227391E-5</v>
      </c>
      <c r="I53" s="87">
        <f t="shared" si="44"/>
        <v>386</v>
      </c>
      <c r="J53" s="87">
        <f t="shared" si="45"/>
        <v>47.091999999999999</v>
      </c>
      <c r="K53" s="87">
        <f t="shared" si="46"/>
        <v>2.7013901045687773E-5</v>
      </c>
      <c r="L53" s="87">
        <f t="shared" si="47"/>
        <v>0.16376447552921342</v>
      </c>
      <c r="M53" s="87">
        <f t="shared" si="48"/>
        <v>0.12261491129770395</v>
      </c>
      <c r="N53" s="112">
        <v>0.38600000000000001</v>
      </c>
      <c r="O53" s="112">
        <f>N53*G53</f>
        <v>4.7092000000000002E-2</v>
      </c>
      <c r="P53" s="113">
        <f>(L53-N53*D53*$B$43-O53*$B$42)/(E53*$B$43*1000)*100</f>
        <v>2.7013901045683657E-6</v>
      </c>
      <c r="Q53" s="114">
        <f t="shared" si="51"/>
        <v>0.16376447552921342</v>
      </c>
      <c r="R53" s="109"/>
      <c r="S53" s="115">
        <f>N53*D53*$B$43</f>
        <v>0.10054528000000001</v>
      </c>
      <c r="T53" s="116">
        <f t="shared" si="53"/>
        <v>6.2896075200000012E-2</v>
      </c>
      <c r="U53" s="116">
        <f t="shared" si="54"/>
        <v>3.2312032921338885E-4</v>
      </c>
      <c r="V53" s="116">
        <f t="shared" si="55"/>
        <v>0.16376447552921342</v>
      </c>
      <c r="W53" s="116"/>
      <c r="X53" s="117">
        <f>S53/V53</f>
        <v>0.61396270268678677</v>
      </c>
      <c r="Y53" s="117">
        <f t="shared" si="57"/>
        <v>0.38406421781493255</v>
      </c>
      <c r="Z53" s="117">
        <f t="shared" ref="Z53:Z57" si="62">U53/V53</f>
        <v>1.9730794982807396E-3</v>
      </c>
    </row>
    <row r="54" spans="1:26" x14ac:dyDescent="0.3">
      <c r="A54" s="122" t="s">
        <v>55</v>
      </c>
      <c r="B54" s="109"/>
      <c r="C54" s="120">
        <v>0.88</v>
      </c>
      <c r="D54" s="109">
        <f t="shared" si="60"/>
        <v>0.3256</v>
      </c>
      <c r="E54" s="109">
        <f t="shared" si="61"/>
        <v>14.951576628406734</v>
      </c>
      <c r="F54" s="122"/>
      <c r="G54" s="66">
        <v>0.19400000000000001</v>
      </c>
      <c r="H54" s="111">
        <v>1.0543868963912584E-3</v>
      </c>
      <c r="I54" s="87">
        <f t="shared" si="44"/>
        <v>7940</v>
      </c>
      <c r="J54" s="87">
        <f t="shared" si="45"/>
        <v>1540.3600000000001</v>
      </c>
      <c r="K54" s="87">
        <f t="shared" si="46"/>
        <v>8.3718319573465923E-3</v>
      </c>
      <c r="L54" s="87">
        <f t="shared" si="47"/>
        <v>4.2256536856243301</v>
      </c>
      <c r="M54" s="87">
        <f t="shared" si="48"/>
        <v>3.1638616993293871</v>
      </c>
      <c r="N54" s="112">
        <v>7.94</v>
      </c>
      <c r="O54" s="112">
        <f t="shared" si="49"/>
        <v>1.5403600000000002</v>
      </c>
      <c r="P54" s="113">
        <f t="shared" si="50"/>
        <v>8.3718319573466234E-4</v>
      </c>
      <c r="Q54" s="114">
        <f t="shared" si="51"/>
        <v>4.2256536856243301</v>
      </c>
      <c r="R54" s="109"/>
      <c r="S54" s="115">
        <f t="shared" si="52"/>
        <v>2.0682111999999999</v>
      </c>
      <c r="T54" s="116">
        <f t="shared" si="53"/>
        <v>2.0573048160000003</v>
      </c>
      <c r="U54" s="116">
        <f t="shared" si="54"/>
        <v>0.10013766962432989</v>
      </c>
      <c r="V54" s="116">
        <f t="shared" si="55"/>
        <v>4.2256536856243301</v>
      </c>
      <c r="W54" s="116"/>
      <c r="X54" s="117">
        <f t="shared" si="56"/>
        <v>0.48944171810294168</v>
      </c>
      <c r="Y54" s="117">
        <f t="shared" si="57"/>
        <v>0.48686072476761388</v>
      </c>
      <c r="Z54" s="117">
        <f t="shared" si="62"/>
        <v>2.3697557129444411E-2</v>
      </c>
    </row>
    <row r="55" spans="1:26" x14ac:dyDescent="0.3">
      <c r="A55" s="124" t="s">
        <v>56</v>
      </c>
      <c r="B55" s="109"/>
      <c r="C55" s="120">
        <v>0.88</v>
      </c>
      <c r="D55" s="109">
        <f t="shared" si="60"/>
        <v>0.3256</v>
      </c>
      <c r="E55" s="109">
        <f t="shared" si="61"/>
        <v>14.951576628406734</v>
      </c>
      <c r="F55" s="122"/>
      <c r="G55" s="66">
        <v>0.36799999999999999</v>
      </c>
      <c r="H55" s="111">
        <v>4.4668359215096279E-3</v>
      </c>
      <c r="I55" s="87">
        <f t="shared" si="44"/>
        <v>2756</v>
      </c>
      <c r="J55" s="87">
        <f t="shared" si="45"/>
        <v>1014.208</v>
      </c>
      <c r="K55" s="87">
        <f t="shared" si="46"/>
        <v>1.2310599799680536E-2</v>
      </c>
      <c r="L55" s="87">
        <f t="shared" si="47"/>
        <v>2.2197093857972576</v>
      </c>
      <c r="M55" s="87">
        <f t="shared" si="48"/>
        <v>1.661956712935952</v>
      </c>
      <c r="N55" s="112">
        <v>2.7559999999999998</v>
      </c>
      <c r="O55" s="112">
        <f t="shared" si="49"/>
        <v>1.014208</v>
      </c>
      <c r="P55" s="113">
        <f t="shared" si="50"/>
        <v>1.2310599799680532E-3</v>
      </c>
      <c r="Q55" s="114">
        <f t="shared" si="51"/>
        <v>2.2197093857972581</v>
      </c>
      <c r="R55" s="109"/>
      <c r="S55" s="115">
        <f t="shared" si="52"/>
        <v>0.71788288</v>
      </c>
      <c r="T55" s="116">
        <f t="shared" si="53"/>
        <v>1.3545762048000001</v>
      </c>
      <c r="U55" s="116">
        <f t="shared" si="54"/>
        <v>0.14725030099725767</v>
      </c>
      <c r="V55" s="116">
        <f t="shared" si="55"/>
        <v>2.2197093857972581</v>
      </c>
      <c r="W55" s="116"/>
      <c r="X55" s="117">
        <f t="shared" si="56"/>
        <v>0.32341300378930299</v>
      </c>
      <c r="Y55" s="117">
        <f t="shared" si="57"/>
        <v>0.61024934771516226</v>
      </c>
      <c r="Z55" s="117">
        <f t="shared" si="62"/>
        <v>6.6337648495534668E-2</v>
      </c>
    </row>
    <row r="56" spans="1:26" x14ac:dyDescent="0.3">
      <c r="A56" s="124" t="s">
        <v>58</v>
      </c>
      <c r="B56" s="109"/>
      <c r="C56" s="120">
        <v>0.88</v>
      </c>
      <c r="D56" s="109">
        <f t="shared" si="60"/>
        <v>0.3256</v>
      </c>
      <c r="E56" s="109">
        <f t="shared" si="61"/>
        <v>14.951576628406734</v>
      </c>
      <c r="F56" s="109"/>
      <c r="G56" s="66">
        <v>0.22</v>
      </c>
      <c r="H56" s="111">
        <v>1.5205475297324944E-2</v>
      </c>
      <c r="I56" s="87">
        <f t="shared" si="44"/>
        <v>71</v>
      </c>
      <c r="J56" s="87">
        <f t="shared" si="45"/>
        <v>15.62</v>
      </c>
      <c r="K56" s="87">
        <f t="shared" si="46"/>
        <v>1.0795887461100711E-3</v>
      </c>
      <c r="L56" s="87">
        <f t="shared" si="47"/>
        <v>5.2269395091704217E-2</v>
      </c>
      <c r="M56" s="87">
        <f t="shared" si="48"/>
        <v>3.9135515941677308E-2</v>
      </c>
      <c r="N56" s="112">
        <v>7.0999999999999994E-2</v>
      </c>
      <c r="O56" s="112">
        <f t="shared" si="49"/>
        <v>1.5619999999999998E-2</v>
      </c>
      <c r="P56" s="113">
        <f t="shared" si="50"/>
        <v>1.079588746110071E-4</v>
      </c>
      <c r="Q56" s="114">
        <f t="shared" si="51"/>
        <v>5.226939509170421E-2</v>
      </c>
      <c r="R56" s="109"/>
      <c r="S56" s="115">
        <f t="shared" si="52"/>
        <v>1.849408E-2</v>
      </c>
      <c r="T56" s="116">
        <f t="shared" si="53"/>
        <v>2.0862071999999999E-2</v>
      </c>
      <c r="U56" s="116">
        <f t="shared" si="54"/>
        <v>1.2913243091704213E-2</v>
      </c>
      <c r="V56" s="116">
        <f t="shared" si="55"/>
        <v>5.226939509170421E-2</v>
      </c>
      <c r="W56" s="116"/>
      <c r="X56" s="117">
        <f t="shared" si="56"/>
        <v>0.35382234608900681</v>
      </c>
      <c r="Y56" s="117">
        <f t="shared" si="57"/>
        <v>0.39912595053756539</v>
      </c>
      <c r="Z56" s="117">
        <f t="shared" si="62"/>
        <v>0.24705170337342783</v>
      </c>
    </row>
    <row r="57" spans="1:26" x14ac:dyDescent="0.3">
      <c r="A57" s="124" t="s">
        <v>57</v>
      </c>
      <c r="B57" s="109"/>
      <c r="C57" s="120">
        <v>0.88</v>
      </c>
      <c r="D57" s="109">
        <f t="shared" si="60"/>
        <v>0.3256</v>
      </c>
      <c r="E57" s="109">
        <f t="shared" si="61"/>
        <v>14.951576628406734</v>
      </c>
      <c r="F57" s="109"/>
      <c r="G57" s="66">
        <v>0.24199999999999999</v>
      </c>
      <c r="H57" s="111">
        <v>4.4668359215096279E-3</v>
      </c>
      <c r="I57" s="87">
        <f t="shared" si="44"/>
        <v>44</v>
      </c>
      <c r="J57" s="87">
        <f t="shared" si="45"/>
        <v>10.648</v>
      </c>
      <c r="K57" s="87">
        <f t="shared" si="46"/>
        <v>1.9654078054642362E-4</v>
      </c>
      <c r="L57" s="87">
        <f t="shared" si="47"/>
        <v>2.803346443275738E-2</v>
      </c>
      <c r="M57" s="87">
        <f t="shared" si="48"/>
        <v>2.0989416316829424E-2</v>
      </c>
      <c r="N57" s="112">
        <v>4.3999999999999997E-2</v>
      </c>
      <c r="O57" s="112">
        <f t="shared" si="49"/>
        <v>1.0647999999999999E-2</v>
      </c>
      <c r="P57" s="113">
        <f t="shared" si="50"/>
        <v>1.9654078054642365E-5</v>
      </c>
      <c r="Q57" s="114">
        <f t="shared" si="51"/>
        <v>2.8033464432757383E-2</v>
      </c>
      <c r="R57" s="109"/>
      <c r="S57" s="115">
        <f t="shared" si="52"/>
        <v>1.146112E-2</v>
      </c>
      <c r="T57" s="116">
        <f t="shared" si="53"/>
        <v>1.4221468800000001E-2</v>
      </c>
      <c r="U57" s="116">
        <f t="shared" si="54"/>
        <v>2.35087563275738E-3</v>
      </c>
      <c r="V57" s="116">
        <f t="shared" ref="V57" si="63">SUM(S57:U57)</f>
        <v>2.8033464432757383E-2</v>
      </c>
      <c r="W57" s="116"/>
      <c r="X57" s="117">
        <f t="shared" si="56"/>
        <v>0.40883708923994305</v>
      </c>
      <c r="Y57" s="117">
        <f t="shared" si="57"/>
        <v>0.50730329225317128</v>
      </c>
      <c r="Z57" s="117">
        <f t="shared" si="62"/>
        <v>8.3859618506885586E-2</v>
      </c>
    </row>
    <row r="60" spans="1:26" ht="18" x14ac:dyDescent="0.35">
      <c r="A60" s="70" t="s">
        <v>92</v>
      </c>
    </row>
    <row r="61" spans="1:26" ht="21" x14ac:dyDescent="0.4">
      <c r="A61" s="71" t="s">
        <v>146</v>
      </c>
    </row>
    <row r="62" spans="1:26" x14ac:dyDescent="0.3">
      <c r="A62" s="30" t="s">
        <v>103</v>
      </c>
      <c r="B62" s="77" t="s">
        <v>104</v>
      </c>
    </row>
    <row r="63" spans="1:26" x14ac:dyDescent="0.3">
      <c r="A63" t="s">
        <v>105</v>
      </c>
      <c r="B63">
        <v>0.37</v>
      </c>
    </row>
    <row r="64" spans="1:26" x14ac:dyDescent="0.3">
      <c r="A64" t="s">
        <v>106</v>
      </c>
      <c r="B64">
        <f>2.65*(1-B63)</f>
        <v>1.6695</v>
      </c>
    </row>
    <row r="65" spans="1:26" x14ac:dyDescent="0.3">
      <c r="A65" t="s">
        <v>107</v>
      </c>
      <c r="B65">
        <v>0.88</v>
      </c>
    </row>
    <row r="66" spans="1:26" x14ac:dyDescent="0.3">
      <c r="A66" t="s">
        <v>108</v>
      </c>
      <c r="B66">
        <f>B63*B65</f>
        <v>0.3256</v>
      </c>
    </row>
    <row r="67" spans="1:26" x14ac:dyDescent="0.3">
      <c r="A67" t="s">
        <v>109</v>
      </c>
      <c r="B67">
        <v>0.06</v>
      </c>
    </row>
    <row r="68" spans="1:26" x14ac:dyDescent="0.3">
      <c r="A68" s="87"/>
      <c r="B68" s="87"/>
    </row>
    <row r="69" spans="1:26" x14ac:dyDescent="0.3">
      <c r="A69" s="87"/>
      <c r="B69" s="87"/>
    </row>
    <row r="70" spans="1:26" ht="16.2" x14ac:dyDescent="0.3">
      <c r="A70" t="s">
        <v>110</v>
      </c>
      <c r="B70">
        <f>(-2.85*B65+3.6)*((1-B65)*3.9*B67^(-1.2))</f>
        <v>14.951576628406734</v>
      </c>
    </row>
    <row r="71" spans="1:26" x14ac:dyDescent="0.3">
      <c r="A71" s="87"/>
      <c r="B71" s="87"/>
    </row>
    <row r="72" spans="1:26" x14ac:dyDescent="0.3">
      <c r="A72" t="s">
        <v>111</v>
      </c>
      <c r="B72">
        <f>B64*B73</f>
        <v>1.0684800000000001</v>
      </c>
    </row>
    <row r="73" spans="1:26" x14ac:dyDescent="0.3">
      <c r="A73" t="s">
        <v>149</v>
      </c>
      <c r="B73">
        <v>0.64</v>
      </c>
    </row>
    <row r="75" spans="1:26" x14ac:dyDescent="0.3">
      <c r="C75" s="96"/>
      <c r="D75" s="96"/>
      <c r="E75" s="97"/>
      <c r="F75" s="189"/>
      <c r="G75" s="189"/>
      <c r="N75" s="190" t="s">
        <v>114</v>
      </c>
      <c r="O75" s="190"/>
      <c r="P75" s="190"/>
      <c r="Q75" s="100"/>
      <c r="S75" s="191" t="s">
        <v>115</v>
      </c>
      <c r="T75" s="191"/>
      <c r="U75" s="191"/>
      <c r="V75" s="191"/>
      <c r="X75" t="s">
        <v>116</v>
      </c>
    </row>
    <row r="76" spans="1:26" ht="28.8" x14ac:dyDescent="0.3">
      <c r="C76" s="101" t="s">
        <v>117</v>
      </c>
      <c r="D76" s="102" t="s">
        <v>118</v>
      </c>
      <c r="E76" s="102" t="s">
        <v>119</v>
      </c>
      <c r="F76" s="101"/>
      <c r="G76" s="103" t="s">
        <v>120</v>
      </c>
      <c r="H76" s="102" t="s">
        <v>121</v>
      </c>
      <c r="I76" s="104" t="s">
        <v>122</v>
      </c>
      <c r="J76" s="104" t="s">
        <v>123</v>
      </c>
      <c r="K76" s="105" t="s">
        <v>124</v>
      </c>
      <c r="L76" s="104" t="s">
        <v>125</v>
      </c>
      <c r="M76" s="106" t="s">
        <v>151</v>
      </c>
      <c r="N76" s="107" t="s">
        <v>127</v>
      </c>
      <c r="O76" s="98" t="s">
        <v>128</v>
      </c>
      <c r="P76" s="98" t="s">
        <v>129</v>
      </c>
      <c r="Q76" s="102" t="s">
        <v>130</v>
      </c>
      <c r="S76" s="102" t="s">
        <v>131</v>
      </c>
      <c r="T76" s="98" t="s">
        <v>132</v>
      </c>
      <c r="U76" s="98" t="s">
        <v>133</v>
      </c>
      <c r="V76" s="102" t="s">
        <v>134</v>
      </c>
      <c r="X76" s="102" t="s">
        <v>131</v>
      </c>
      <c r="Y76" s="98" t="s">
        <v>132</v>
      </c>
      <c r="Z76" s="98" t="s">
        <v>133</v>
      </c>
    </row>
    <row r="77" spans="1:26" x14ac:dyDescent="0.3">
      <c r="A77" s="19" t="s">
        <v>135</v>
      </c>
      <c r="B77" s="98"/>
      <c r="C77" s="101" t="s">
        <v>136</v>
      </c>
      <c r="D77" t="s">
        <v>136</v>
      </c>
      <c r="E77" t="s">
        <v>137</v>
      </c>
      <c r="F77" s="101"/>
      <c r="G77" s="103" t="s">
        <v>88</v>
      </c>
      <c r="H77" s="102" t="s">
        <v>12</v>
      </c>
      <c r="I77" s="87"/>
      <c r="J77" s="87"/>
      <c r="K77" s="87"/>
      <c r="L77" s="87"/>
      <c r="M77" s="87" t="s">
        <v>138</v>
      </c>
      <c r="N77" s="102" t="s">
        <v>139</v>
      </c>
      <c r="O77" s="99" t="s">
        <v>140</v>
      </c>
      <c r="P77" s="99" t="s">
        <v>141</v>
      </c>
      <c r="Q77" s="99" t="s">
        <v>142</v>
      </c>
      <c r="S77" s="99" t="s">
        <v>143</v>
      </c>
      <c r="T77" s="99" t="s">
        <v>143</v>
      </c>
      <c r="U77" s="99" t="s">
        <v>142</v>
      </c>
      <c r="V77" s="102" t="s">
        <v>142</v>
      </c>
      <c r="X77" s="102"/>
      <c r="Y77" s="98"/>
      <c r="Z77" s="98"/>
    </row>
    <row r="78" spans="1:26" x14ac:dyDescent="0.3">
      <c r="A78" s="108" t="s">
        <v>49</v>
      </c>
      <c r="B78" s="109"/>
      <c r="C78" s="109">
        <v>0.88</v>
      </c>
      <c r="D78" s="109">
        <f>C78*$B$4</f>
        <v>0.3256</v>
      </c>
      <c r="E78" s="109">
        <f>(-2.85*C78+3.6)*((1-C78)*3.9*$B$8^(-1.2))</f>
        <v>14.951576628406734</v>
      </c>
      <c r="F78" s="110"/>
      <c r="G78" s="66">
        <v>8.0000000000000002E-3</v>
      </c>
      <c r="H78" s="111">
        <v>9.506047936562795E-5</v>
      </c>
      <c r="I78" s="87">
        <f>N78*1000</f>
        <v>76</v>
      </c>
      <c r="J78" s="87">
        <f>G78*I78</f>
        <v>0.60799999999999998</v>
      </c>
      <c r="K78" s="87">
        <f>(I78*H78)/1000</f>
        <v>7.2245964317877242E-6</v>
      </c>
      <c r="L78" s="87">
        <f>(I78*$B$73*$B$66+$B$64*$B$73*J78+$B$73*$B$70*K78*1000)/1000</f>
        <v>1.6555952068581882E-2</v>
      </c>
      <c r="M78" s="87">
        <f>L78/$B$72</f>
        <v>1.549486379584258E-2</v>
      </c>
      <c r="N78" s="112">
        <v>7.5999999999999998E-2</v>
      </c>
      <c r="O78" s="112">
        <f>N78*G78</f>
        <v>6.0800000000000003E-4</v>
      </c>
      <c r="P78" s="113">
        <f>(L78-N78*D78*$B$73-O78*$B$72)/(E78*$B$73*1000)*100</f>
        <v>7.2245964317878197E-7</v>
      </c>
      <c r="Q78" s="114">
        <f>N78*D78*$B$73+O78*$B$72+P78/100*E78*$B$73*1000</f>
        <v>1.6555952068581882E-2</v>
      </c>
      <c r="R78" s="109"/>
      <c r="S78" s="115">
        <f>N78*D78*$B$73</f>
        <v>1.5837184000000001E-2</v>
      </c>
      <c r="T78" s="116">
        <f>O78*$B$72</f>
        <v>6.4963584000000008E-4</v>
      </c>
      <c r="U78" s="116">
        <f>P78/100*E78*$B$73*1000</f>
        <v>6.9132228581881235E-5</v>
      </c>
      <c r="V78" s="116">
        <f>SUM(S78:U78)</f>
        <v>1.6555952068581882E-2</v>
      </c>
      <c r="W78" s="116"/>
      <c r="X78" s="117">
        <f>S78/V78</f>
        <v>0.9565855188753607</v>
      </c>
      <c r="Y78" s="117">
        <f>T78/V78</f>
        <v>3.923880893765147E-2</v>
      </c>
      <c r="Z78" s="117">
        <f>U78/V78</f>
        <v>4.1756721869878445E-3</v>
      </c>
    </row>
    <row r="79" spans="1:26" x14ac:dyDescent="0.3">
      <c r="A79" s="108" t="s">
        <v>50</v>
      </c>
      <c r="B79" s="119"/>
      <c r="C79" s="120">
        <v>0.88</v>
      </c>
      <c r="D79" s="109">
        <f>C79*$B$4</f>
        <v>0.3256</v>
      </c>
      <c r="E79" s="109">
        <f>(-2.85*C79+3.6)*((1-C79)*3.9*$B$8^(-1.2))</f>
        <v>14.951576628406734</v>
      </c>
      <c r="F79" s="110"/>
      <c r="G79" s="66">
        <v>0.16600000000000001</v>
      </c>
      <c r="H79" s="111">
        <v>2.5292979964461428E-3</v>
      </c>
      <c r="I79" s="87">
        <f t="shared" ref="I79:I87" si="64">N79*1000</f>
        <v>4059</v>
      </c>
      <c r="J79" s="87">
        <f t="shared" ref="J79:J87" si="65">G79*I79</f>
        <v>673.79399999999998</v>
      </c>
      <c r="K79" s="87">
        <f t="shared" ref="K79:K87" si="66">(I79*H79)/1000</f>
        <v>1.0266420567574893E-2</v>
      </c>
      <c r="L79" s="87">
        <f t="shared" ref="L79:L87" si="67">(I79*$B$73*$B$66+$B$64*$B$73*J79+$B$73*$B$70*K79*1000)/1000</f>
        <v>1.66400554036195</v>
      </c>
      <c r="M79" s="87">
        <f t="shared" ref="M79:M87" si="68">L79/$B$72</f>
        <v>1.5573576860230887</v>
      </c>
      <c r="N79" s="112">
        <v>4.0590000000000002</v>
      </c>
      <c r="O79" s="112">
        <f t="shared" ref="O79:O87" si="69">N79*G79</f>
        <v>0.67379400000000012</v>
      </c>
      <c r="P79" s="113">
        <f t="shared" ref="P79:P87" si="70">(L79-N79*D79*$B$73-O79*$B$72)/(E79*$B$73*1000)*100</f>
        <v>1.0266420567574873E-3</v>
      </c>
      <c r="Q79" s="114">
        <f t="shared" ref="Q79:Q87" si="71">N79*D79*$B$73+O79*$B$72+P79/100*E79*$B$73*1000</f>
        <v>1.66400554036195</v>
      </c>
      <c r="R79" s="109"/>
      <c r="S79" s="115">
        <f t="shared" ref="S79:S87" si="72">N79*D79*$B$73</f>
        <v>0.84583065599999996</v>
      </c>
      <c r="T79" s="116">
        <f t="shared" ref="T79:T87" si="73">O79*$B$72</f>
        <v>0.7199354131200002</v>
      </c>
      <c r="U79" s="116">
        <f t="shared" ref="U79:U87" si="74">P79/100*E79*$B$73*1000</f>
        <v>9.8239471241949858E-2</v>
      </c>
      <c r="V79" s="116">
        <f t="shared" ref="V79:V86" si="75">SUM(S79:U79)</f>
        <v>1.66400554036195</v>
      </c>
      <c r="W79" s="116"/>
      <c r="X79" s="117">
        <f t="shared" ref="X79:X87" si="76">S79/V79</f>
        <v>0.50830999986695791</v>
      </c>
      <c r="Y79" s="117">
        <f t="shared" ref="Y79:Y87" si="77">T79/V79</f>
        <v>0.4326520529273008</v>
      </c>
      <c r="Z79" s="117">
        <f t="shared" ref="Z79" si="78">U79/V79</f>
        <v>5.903794720574132E-2</v>
      </c>
    </row>
    <row r="80" spans="1:26" x14ac:dyDescent="0.3">
      <c r="A80" s="108" t="s">
        <v>51</v>
      </c>
      <c r="B80" s="119"/>
      <c r="C80" s="120">
        <v>0.88</v>
      </c>
      <c r="D80" s="109">
        <f>C80*$B$4</f>
        <v>0.3256</v>
      </c>
      <c r="E80" s="109">
        <f>(-2.85*C80+3.6)*((1-C80)*3.9*$B$8^(-1.2))</f>
        <v>14.951576628406734</v>
      </c>
      <c r="F80" s="110"/>
      <c r="G80" s="66">
        <v>0.22</v>
      </c>
      <c r="H80" s="111">
        <v>1.1694993910198723E-2</v>
      </c>
      <c r="I80" s="87">
        <f t="shared" si="64"/>
        <v>20</v>
      </c>
      <c r="J80" s="87">
        <f t="shared" si="65"/>
        <v>4.4000000000000004</v>
      </c>
      <c r="K80" s="87">
        <f t="shared" si="66"/>
        <v>2.3389987820397444E-4</v>
      </c>
      <c r="L80" s="87">
        <f t="shared" si="67"/>
        <v>1.1107182049498706E-2</v>
      </c>
      <c r="M80" s="87">
        <f t="shared" si="68"/>
        <v>1.0395311142462848E-2</v>
      </c>
      <c r="N80" s="112">
        <v>0.02</v>
      </c>
      <c r="O80" s="112">
        <f t="shared" si="69"/>
        <v>4.4000000000000003E-3</v>
      </c>
      <c r="P80" s="113">
        <f t="shared" si="70"/>
        <v>2.3389987820397443E-5</v>
      </c>
      <c r="Q80" s="114">
        <f t="shared" si="71"/>
        <v>1.1107182049498706E-2</v>
      </c>
      <c r="R80" s="109"/>
      <c r="S80" s="115">
        <f t="shared" si="72"/>
        <v>4.16768E-3</v>
      </c>
      <c r="T80" s="116">
        <f t="shared" si="73"/>
        <v>4.7013120000000009E-3</v>
      </c>
      <c r="U80" s="116">
        <f t="shared" si="74"/>
        <v>2.2381900494987043E-3</v>
      </c>
      <c r="V80" s="116">
        <f t="shared" si="75"/>
        <v>1.1107182049498706E-2</v>
      </c>
      <c r="W80" s="116"/>
      <c r="X80" s="117">
        <f t="shared" si="76"/>
        <v>0.37522388499863452</v>
      </c>
      <c r="Y80" s="117">
        <f t="shared" si="77"/>
        <v>0.42326775405758138</v>
      </c>
      <c r="Z80" s="117">
        <f>U80/V80</f>
        <v>0.20150836094378405</v>
      </c>
    </row>
    <row r="81" spans="1:32" x14ac:dyDescent="0.3">
      <c r="A81" s="121" t="s">
        <v>52</v>
      </c>
      <c r="B81" s="109"/>
      <c r="C81" s="120">
        <v>0.88</v>
      </c>
      <c r="D81" s="109">
        <f>C81*$B$4</f>
        <v>0.3256</v>
      </c>
      <c r="E81" s="109">
        <f>(-2.85*C81+3.6)*((1-C81)*3.9*$B$8^(-1.2))</f>
        <v>14.951576628406734</v>
      </c>
      <c r="F81" s="110"/>
      <c r="G81" s="66">
        <v>0.11799999999999999</v>
      </c>
      <c r="H81" s="111">
        <v>2.2803420720004172E-4</v>
      </c>
      <c r="I81" s="87">
        <f t="shared" si="64"/>
        <v>158</v>
      </c>
      <c r="J81" s="87">
        <f t="shared" si="65"/>
        <v>18.643999999999998</v>
      </c>
      <c r="K81" s="87">
        <f t="shared" si="66"/>
        <v>3.6029404737606586E-5</v>
      </c>
      <c r="L81" s="87">
        <f t="shared" si="67"/>
        <v>5.3190178819718534E-2</v>
      </c>
      <c r="M81" s="87">
        <f t="shared" si="68"/>
        <v>4.9781164663558072E-2</v>
      </c>
      <c r="N81" s="112">
        <v>0.158</v>
      </c>
      <c r="O81" s="112">
        <f t="shared" si="69"/>
        <v>1.8644000000000001E-2</v>
      </c>
      <c r="P81" s="113">
        <f t="shared" si="70"/>
        <v>3.6029404737606424E-6</v>
      </c>
      <c r="Q81" s="114">
        <f t="shared" si="71"/>
        <v>5.3190178819718534E-2</v>
      </c>
      <c r="R81" s="109"/>
      <c r="S81" s="115">
        <f t="shared" si="72"/>
        <v>3.2924672000000002E-2</v>
      </c>
      <c r="T81" s="116">
        <f t="shared" si="73"/>
        <v>1.9920741120000002E-2</v>
      </c>
      <c r="U81" s="116">
        <f t="shared" si="74"/>
        <v>3.4476569971852994E-4</v>
      </c>
      <c r="V81" s="116">
        <f t="shared" si="75"/>
        <v>5.3190178819718534E-2</v>
      </c>
      <c r="W81" s="116"/>
      <c r="X81" s="117">
        <f t="shared" si="76"/>
        <v>0.61899908461661812</v>
      </c>
      <c r="Y81" s="117">
        <f t="shared" si="77"/>
        <v>0.37451916052997047</v>
      </c>
      <c r="Z81" s="117">
        <f t="shared" ref="Z81" si="79">U81/V81</f>
        <v>6.4817548534113825E-3</v>
      </c>
    </row>
    <row r="82" spans="1:32" x14ac:dyDescent="0.3">
      <c r="A82" s="122" t="s">
        <v>53</v>
      </c>
      <c r="B82" s="109"/>
      <c r="C82" s="120">
        <v>0.88</v>
      </c>
      <c r="D82" s="109">
        <f>C82*$B$4</f>
        <v>0.3256</v>
      </c>
      <c r="E82" s="109">
        <f>(-2.85*C82+3.6)*((1-C82)*3.9*$B$8^(-1.2))</f>
        <v>14.951576628406734</v>
      </c>
      <c r="F82" s="123"/>
      <c r="G82" s="66">
        <v>0.13300000000000001</v>
      </c>
      <c r="H82" s="111">
        <v>7.7624711662869063E-4</v>
      </c>
      <c r="I82" s="87">
        <f t="shared" si="64"/>
        <v>3837</v>
      </c>
      <c r="J82" s="87">
        <f>G82*I82</f>
        <v>510.32100000000003</v>
      </c>
      <c r="K82" s="87">
        <f t="shared" si="66"/>
        <v>2.978460186504286E-3</v>
      </c>
      <c r="L82" s="87">
        <f t="shared" si="67"/>
        <v>1.3733381025364335</v>
      </c>
      <c r="M82" s="87">
        <f t="shared" si="68"/>
        <v>1.2853194281001361</v>
      </c>
      <c r="N82" s="112">
        <v>3.8370000000000002</v>
      </c>
      <c r="O82" s="112">
        <f t="shared" si="69"/>
        <v>0.51032100000000002</v>
      </c>
      <c r="P82" s="113">
        <f t="shared" si="70"/>
        <v>2.9784601865042782E-4</v>
      </c>
      <c r="Q82" s="114">
        <f t="shared" si="71"/>
        <v>1.3733381025364335</v>
      </c>
      <c r="R82" s="109"/>
      <c r="S82" s="115">
        <f t="shared" si="72"/>
        <v>0.79956940799999998</v>
      </c>
      <c r="T82" s="116">
        <f t="shared" si="73"/>
        <v>0.54526778208000004</v>
      </c>
      <c r="U82" s="116">
        <f t="shared" si="74"/>
        <v>2.8500912456433488E-2</v>
      </c>
      <c r="V82" s="116">
        <f t="shared" si="75"/>
        <v>1.3733381025364335</v>
      </c>
      <c r="W82" s="116"/>
      <c r="X82" s="117">
        <f t="shared" si="76"/>
        <v>0.58220871213233383</v>
      </c>
      <c r="Y82" s="117">
        <f t="shared" si="77"/>
        <v>0.39703826834261635</v>
      </c>
      <c r="Z82" s="117">
        <f>U82/V82</f>
        <v>2.0753019525049828E-2</v>
      </c>
    </row>
    <row r="83" spans="1:32" x14ac:dyDescent="0.3">
      <c r="A83" s="122" t="s">
        <v>54</v>
      </c>
      <c r="B83" s="109"/>
      <c r="C83" s="120">
        <v>0.88</v>
      </c>
      <c r="D83" s="109">
        <f t="shared" ref="D83:D87" si="80">C83*$B$4</f>
        <v>0.3256</v>
      </c>
      <c r="E83" s="109">
        <f t="shared" ref="E83:E87" si="81">(-2.85*C83+3.6)*((1-C83)*3.9*$B$8^(-1.2))</f>
        <v>14.951576628406734</v>
      </c>
      <c r="F83" s="123"/>
      <c r="G83" s="66">
        <v>0.122</v>
      </c>
      <c r="H83" s="111">
        <v>6.9984199600227391E-5</v>
      </c>
      <c r="I83" s="87">
        <f t="shared" si="64"/>
        <v>116</v>
      </c>
      <c r="J83" s="87">
        <f t="shared" si="65"/>
        <v>14.151999999999999</v>
      </c>
      <c r="K83" s="87">
        <f t="shared" si="66"/>
        <v>8.1181671536263785E-6</v>
      </c>
      <c r="L83" s="87">
        <f t="shared" si="67"/>
        <v>3.9371355774898982E-2</v>
      </c>
      <c r="M83" s="87">
        <f t="shared" si="68"/>
        <v>3.6848004431434357E-2</v>
      </c>
      <c r="N83" s="112">
        <v>0.11600000000000001</v>
      </c>
      <c r="O83" s="112">
        <f t="shared" si="69"/>
        <v>1.4152E-2</v>
      </c>
      <c r="P83" s="113">
        <f t="shared" si="70"/>
        <v>8.1181671536262409E-7</v>
      </c>
      <c r="Q83" s="114">
        <f t="shared" si="71"/>
        <v>3.9371355774898982E-2</v>
      </c>
      <c r="R83" s="109"/>
      <c r="S83" s="115">
        <f t="shared" si="72"/>
        <v>2.4172544000000001E-2</v>
      </c>
      <c r="T83" s="116">
        <f t="shared" si="73"/>
        <v>1.5121128960000001E-2</v>
      </c>
      <c r="U83" s="116">
        <f t="shared" si="74"/>
        <v>7.7682814898980698E-5</v>
      </c>
      <c r="V83" s="116">
        <f t="shared" si="75"/>
        <v>3.9371355774898982E-2</v>
      </c>
      <c r="W83" s="116"/>
      <c r="X83" s="117">
        <f t="shared" si="76"/>
        <v>0.61396270268678654</v>
      </c>
      <c r="Y83" s="117">
        <f t="shared" si="77"/>
        <v>0.38406421781493244</v>
      </c>
      <c r="Z83" s="117">
        <f t="shared" ref="Z83:Z87" si="82">U83/V83</f>
        <v>1.9730794982810067E-3</v>
      </c>
    </row>
    <row r="84" spans="1:32" x14ac:dyDescent="0.3">
      <c r="A84" s="122" t="s">
        <v>55</v>
      </c>
      <c r="B84" s="109"/>
      <c r="C84" s="120">
        <v>0.88</v>
      </c>
      <c r="D84" s="109">
        <f t="shared" si="80"/>
        <v>0.3256</v>
      </c>
      <c r="E84" s="109">
        <f t="shared" si="81"/>
        <v>14.951576628406734</v>
      </c>
      <c r="F84" s="122"/>
      <c r="G84" s="66">
        <v>0.19400000000000001</v>
      </c>
      <c r="H84" s="111">
        <v>1.0543868963912584E-3</v>
      </c>
      <c r="I84" s="87">
        <f t="shared" si="64"/>
        <v>5514</v>
      </c>
      <c r="J84" s="87">
        <f t="shared" si="65"/>
        <v>1069.7160000000001</v>
      </c>
      <c r="K84" s="87">
        <f t="shared" si="66"/>
        <v>5.8138893467013985E-3</v>
      </c>
      <c r="L84" s="87">
        <f t="shared" si="67"/>
        <v>2.3476326874088214</v>
      </c>
      <c r="M84" s="87">
        <f t="shared" si="68"/>
        <v>2.1971704546728259</v>
      </c>
      <c r="N84" s="112">
        <v>5.5140000000000002</v>
      </c>
      <c r="O84" s="112">
        <f t="shared" si="69"/>
        <v>1.0697160000000001</v>
      </c>
      <c r="P84" s="113">
        <f t="shared" si="70"/>
        <v>5.8138893467013606E-4</v>
      </c>
      <c r="Q84" s="114">
        <f t="shared" si="71"/>
        <v>2.3476326874088214</v>
      </c>
      <c r="R84" s="109"/>
      <c r="S84" s="115">
        <f t="shared" si="72"/>
        <v>1.1490293760000001</v>
      </c>
      <c r="T84" s="116">
        <f t="shared" si="73"/>
        <v>1.1429701516800002</v>
      </c>
      <c r="U84" s="116">
        <f t="shared" si="74"/>
        <v>5.5633159728821095E-2</v>
      </c>
      <c r="V84" s="116">
        <f t="shared" si="75"/>
        <v>2.3476326874088214</v>
      </c>
      <c r="W84" s="116"/>
      <c r="X84" s="117">
        <f t="shared" si="76"/>
        <v>0.48944171810294185</v>
      </c>
      <c r="Y84" s="117">
        <f t="shared" si="77"/>
        <v>0.48686072476761399</v>
      </c>
      <c r="Z84" s="117">
        <f t="shared" si="82"/>
        <v>2.3697557129444172E-2</v>
      </c>
    </row>
    <row r="85" spans="1:32" x14ac:dyDescent="0.3">
      <c r="A85" s="124" t="s">
        <v>56</v>
      </c>
      <c r="B85" s="109"/>
      <c r="C85" s="120">
        <v>0.88</v>
      </c>
      <c r="D85" s="109">
        <f t="shared" si="80"/>
        <v>0.3256</v>
      </c>
      <c r="E85" s="109">
        <f t="shared" si="81"/>
        <v>14.951576628406734</v>
      </c>
      <c r="F85" s="122"/>
      <c r="G85" s="66">
        <v>0.36799999999999999</v>
      </c>
      <c r="H85" s="111">
        <v>4.4668359215096279E-3</v>
      </c>
      <c r="I85" s="87">
        <f t="shared" si="64"/>
        <v>2442</v>
      </c>
      <c r="J85" s="87">
        <f t="shared" si="65"/>
        <v>898.65599999999995</v>
      </c>
      <c r="K85" s="87">
        <f t="shared" si="66"/>
        <v>1.0908013320326511E-2</v>
      </c>
      <c r="L85" s="87">
        <f t="shared" si="67"/>
        <v>1.5734485689744278</v>
      </c>
      <c r="M85" s="87">
        <f t="shared" si="68"/>
        <v>1.4726046055840329</v>
      </c>
      <c r="N85" s="112">
        <v>2.4420000000000002</v>
      </c>
      <c r="O85" s="112">
        <f t="shared" si="69"/>
        <v>0.89865600000000001</v>
      </c>
      <c r="P85" s="113">
        <f t="shared" si="70"/>
        <v>1.0908013320326516E-3</v>
      </c>
      <c r="Q85" s="114">
        <f t="shared" si="71"/>
        <v>1.5734485689744278</v>
      </c>
      <c r="R85" s="109"/>
      <c r="S85" s="115">
        <f t="shared" si="72"/>
        <v>0.50887372799999997</v>
      </c>
      <c r="T85" s="116">
        <f t="shared" si="73"/>
        <v>0.96019596288000009</v>
      </c>
      <c r="U85" s="116">
        <f t="shared" si="74"/>
        <v>0.10437887809442771</v>
      </c>
      <c r="V85" s="116">
        <f t="shared" si="75"/>
        <v>1.5734485689744278</v>
      </c>
      <c r="W85" s="116"/>
      <c r="X85" s="117">
        <f t="shared" si="76"/>
        <v>0.32341300378930299</v>
      </c>
      <c r="Y85" s="117">
        <f t="shared" si="77"/>
        <v>0.61024934771516226</v>
      </c>
      <c r="Z85" s="117">
        <f t="shared" si="82"/>
        <v>6.6337648495534723E-2</v>
      </c>
    </row>
    <row r="86" spans="1:32" x14ac:dyDescent="0.3">
      <c r="A86" s="124" t="s">
        <v>58</v>
      </c>
      <c r="B86" s="109"/>
      <c r="C86" s="120">
        <v>0.88</v>
      </c>
      <c r="D86" s="109">
        <f t="shared" si="80"/>
        <v>0.3256</v>
      </c>
      <c r="E86" s="109">
        <f t="shared" si="81"/>
        <v>14.951576628406734</v>
      </c>
      <c r="F86" s="109"/>
      <c r="G86" s="66">
        <v>0.22</v>
      </c>
      <c r="H86" s="111">
        <v>1.5205475297324944E-2</v>
      </c>
      <c r="I86" s="87">
        <f t="shared" si="64"/>
        <v>31</v>
      </c>
      <c r="J86" s="87">
        <f t="shared" si="65"/>
        <v>6.82</v>
      </c>
      <c r="K86" s="87">
        <f t="shared" si="66"/>
        <v>4.7136973421707323E-4</v>
      </c>
      <c r="L86" s="87">
        <f t="shared" si="67"/>
        <v>1.8257478848933303E-2</v>
      </c>
      <c r="M86" s="87">
        <f t="shared" si="68"/>
        <v>1.7087337946366146E-2</v>
      </c>
      <c r="N86" s="112">
        <v>3.1E-2</v>
      </c>
      <c r="O86" s="112">
        <f t="shared" si="69"/>
        <v>6.8199999999999997E-3</v>
      </c>
      <c r="P86" s="113">
        <f t="shared" si="70"/>
        <v>4.7136973421707319E-5</v>
      </c>
      <c r="Q86" s="114">
        <f t="shared" si="71"/>
        <v>1.8257478848933303E-2</v>
      </c>
      <c r="R86" s="109"/>
      <c r="S86" s="115">
        <f t="shared" si="72"/>
        <v>6.4599039999999998E-3</v>
      </c>
      <c r="T86" s="116">
        <f t="shared" si="73"/>
        <v>7.2870336000000003E-3</v>
      </c>
      <c r="U86" s="116">
        <f t="shared" si="74"/>
        <v>4.5105412489333026E-3</v>
      </c>
      <c r="V86" s="116">
        <f t="shared" si="75"/>
        <v>1.8257478848933303E-2</v>
      </c>
      <c r="W86" s="116"/>
      <c r="X86" s="117">
        <f t="shared" si="76"/>
        <v>0.35382234608900676</v>
      </c>
      <c r="Y86" s="117">
        <f t="shared" si="77"/>
        <v>0.39912595053756544</v>
      </c>
      <c r="Z86" s="117">
        <f t="shared" si="82"/>
        <v>0.24705170337342783</v>
      </c>
    </row>
    <row r="87" spans="1:32" x14ac:dyDescent="0.3">
      <c r="A87" s="124" t="s">
        <v>57</v>
      </c>
      <c r="B87" s="109"/>
      <c r="C87" s="120">
        <v>0.88</v>
      </c>
      <c r="D87" s="109">
        <f t="shared" si="80"/>
        <v>0.3256</v>
      </c>
      <c r="E87" s="109">
        <f t="shared" si="81"/>
        <v>14.951576628406734</v>
      </c>
      <c r="F87" s="109"/>
      <c r="G87" s="66">
        <v>0.24199999999999999</v>
      </c>
      <c r="H87" s="111">
        <v>4.4668359215096279E-3</v>
      </c>
      <c r="I87" s="87">
        <f t="shared" si="64"/>
        <v>20</v>
      </c>
      <c r="J87" s="87">
        <f t="shared" si="65"/>
        <v>4.84</v>
      </c>
      <c r="K87" s="87">
        <f t="shared" si="66"/>
        <v>8.9336718430192561E-5</v>
      </c>
      <c r="L87" s="87">
        <f t="shared" si="67"/>
        <v>1.0193987066457228E-2</v>
      </c>
      <c r="M87" s="87">
        <f t="shared" si="68"/>
        <v>9.5406437803770092E-3</v>
      </c>
      <c r="N87" s="112">
        <v>0.02</v>
      </c>
      <c r="O87" s="112">
        <f t="shared" si="69"/>
        <v>4.8399999999999997E-3</v>
      </c>
      <c r="P87" s="113">
        <f t="shared" si="70"/>
        <v>8.9336718430192456E-6</v>
      </c>
      <c r="Q87" s="114">
        <f t="shared" si="71"/>
        <v>1.0193987066457228E-2</v>
      </c>
      <c r="R87" s="109"/>
      <c r="S87" s="115">
        <f t="shared" si="72"/>
        <v>4.16768E-3</v>
      </c>
      <c r="T87" s="116">
        <f t="shared" si="73"/>
        <v>5.1714432000000005E-3</v>
      </c>
      <c r="U87" s="116">
        <f t="shared" si="74"/>
        <v>8.5486386645722788E-4</v>
      </c>
      <c r="V87" s="116">
        <f t="shared" ref="V87" si="83">SUM(S87:U87)</f>
        <v>1.0193987066457228E-2</v>
      </c>
      <c r="W87" s="116"/>
      <c r="X87" s="117">
        <f t="shared" si="76"/>
        <v>0.40883708923994311</v>
      </c>
      <c r="Y87" s="117">
        <f t="shared" si="77"/>
        <v>0.50730329225317139</v>
      </c>
      <c r="Z87" s="117">
        <f t="shared" si="82"/>
        <v>8.3859618506885489E-2</v>
      </c>
    </row>
    <row r="90" spans="1:32" ht="18.600000000000001" thickBot="1" x14ac:dyDescent="0.4">
      <c r="A90" s="70" t="s">
        <v>150</v>
      </c>
    </row>
    <row r="91" spans="1:32" ht="48" x14ac:dyDescent="0.4">
      <c r="A91" s="71" t="s">
        <v>93</v>
      </c>
      <c r="W91" s="136" t="s">
        <v>147</v>
      </c>
      <c r="X91" s="73" t="s">
        <v>95</v>
      </c>
      <c r="Y91" s="73" t="s">
        <v>96</v>
      </c>
      <c r="Z91" s="74" t="s">
        <v>97</v>
      </c>
      <c r="AA91" s="75" t="s">
        <v>98</v>
      </c>
      <c r="AB91" s="76" t="s">
        <v>99</v>
      </c>
      <c r="AC91" s="76" t="s">
        <v>100</v>
      </c>
      <c r="AD91" s="74" t="s">
        <v>154</v>
      </c>
      <c r="AE91" s="30"/>
      <c r="AF91" s="30"/>
    </row>
    <row r="92" spans="1:32" x14ac:dyDescent="0.3">
      <c r="A92" s="30" t="s">
        <v>103</v>
      </c>
      <c r="B92" s="77" t="s">
        <v>104</v>
      </c>
      <c r="W92" s="78" t="s">
        <v>49</v>
      </c>
      <c r="X92" s="79">
        <f>X3</f>
        <v>14.469152716704</v>
      </c>
      <c r="Y92" s="79">
        <f t="shared" ref="Y92:Y101" si="84">SUM(V107,V137,V167,V197)</f>
        <v>7.7794594347916588</v>
      </c>
      <c r="Z92" s="137">
        <f>(X92-Y92)/X92</f>
        <v>0.46234174266399058</v>
      </c>
      <c r="AA92" s="81">
        <f>V107/X92</f>
        <v>0.46286590379838527</v>
      </c>
      <c r="AB92" s="82">
        <f>V137/X92</f>
        <v>7.0064901670921123E-2</v>
      </c>
      <c r="AC92" s="82">
        <f>V167/X92</f>
        <v>4.7274518667030294E-3</v>
      </c>
      <c r="AD92" s="131">
        <f>SUM(AA92:AC92)</f>
        <v>0.53765825733600936</v>
      </c>
      <c r="AE92" s="132"/>
      <c r="AF92" s="84"/>
    </row>
    <row r="93" spans="1:32" x14ac:dyDescent="0.3">
      <c r="A93" t="s">
        <v>105</v>
      </c>
      <c r="B93">
        <v>0.37</v>
      </c>
      <c r="W93" s="78" t="s">
        <v>50</v>
      </c>
      <c r="X93" s="79">
        <f t="shared" ref="X93:X101" si="85">X4</f>
        <v>14.848123588936001</v>
      </c>
      <c r="Y93" s="79">
        <f t="shared" si="84"/>
        <v>7.2874290432404161</v>
      </c>
      <c r="Z93" s="137">
        <f>(Y93-X93)/X93</f>
        <v>-0.50920202141430149</v>
      </c>
      <c r="AA93" s="129">
        <f t="shared" ref="AA93:AA101" si="86">V108/X93</f>
        <v>0.35914728231625054</v>
      </c>
      <c r="AB93" s="130">
        <f t="shared" ref="AB93:AB101" si="87">V138/X93</f>
        <v>6.0776195703480786E-2</v>
      </c>
      <c r="AC93" s="130">
        <f t="shared" ref="AC93:AC101" si="88">V168/X93</f>
        <v>7.0874500565967141E-2</v>
      </c>
      <c r="AD93" s="131">
        <f t="shared" ref="AD93:AD101" si="89">SUM(AA93:AC93)</f>
        <v>0.49079797858569851</v>
      </c>
      <c r="AE93" s="132"/>
      <c r="AF93" s="84"/>
    </row>
    <row r="94" spans="1:32" x14ac:dyDescent="0.3">
      <c r="A94" t="s">
        <v>106</v>
      </c>
      <c r="B94">
        <f>2.65*(1-B93)</f>
        <v>1.6695</v>
      </c>
      <c r="W94" s="86" t="s">
        <v>51</v>
      </c>
      <c r="X94" s="79">
        <f t="shared" si="85"/>
        <v>1.4824424605600002</v>
      </c>
      <c r="Y94" s="79">
        <f t="shared" si="84"/>
        <v>0.41881018315391055</v>
      </c>
      <c r="Z94" s="137">
        <f t="shared" ref="Z94:Z99" si="90">(Y94-X94)/X94</f>
        <v>-0.71748638190267233</v>
      </c>
      <c r="AA94" s="129">
        <f t="shared" si="86"/>
        <v>0.25956787421075533</v>
      </c>
      <c r="AB94" s="130">
        <f t="shared" si="87"/>
        <v>1.5453256086875205E-2</v>
      </c>
      <c r="AC94" s="130">
        <f t="shared" si="88"/>
        <v>7.4924877996970698E-3</v>
      </c>
      <c r="AD94" s="131">
        <f t="shared" si="89"/>
        <v>0.28251361809732761</v>
      </c>
      <c r="AE94" s="132"/>
      <c r="AF94" s="84"/>
    </row>
    <row r="95" spans="1:32" x14ac:dyDescent="0.3">
      <c r="A95" t="s">
        <v>107</v>
      </c>
      <c r="B95">
        <v>0.88</v>
      </c>
      <c r="W95" s="85" t="s">
        <v>52</v>
      </c>
      <c r="X95" s="79">
        <f t="shared" si="85"/>
        <v>21.830863014336</v>
      </c>
      <c r="Y95" s="79">
        <f t="shared" si="84"/>
        <v>19.451151840486517</v>
      </c>
      <c r="Z95" s="137">
        <f t="shared" si="90"/>
        <v>-0.10900673840913949</v>
      </c>
      <c r="AA95" s="129">
        <f t="shared" si="86"/>
        <v>0.67632200800911513</v>
      </c>
      <c r="AB95" s="130">
        <f t="shared" si="87"/>
        <v>0.19175612659212735</v>
      </c>
      <c r="AC95" s="130">
        <f t="shared" si="88"/>
        <v>2.2915126989618111E-2</v>
      </c>
      <c r="AD95" s="131">
        <f t="shared" si="89"/>
        <v>0.89099326159086056</v>
      </c>
      <c r="AE95" s="132"/>
      <c r="AF95" s="84"/>
    </row>
    <row r="96" spans="1:32" x14ac:dyDescent="0.3">
      <c r="A96" t="s">
        <v>108</v>
      </c>
      <c r="B96">
        <f>B93*B95</f>
        <v>0.3256</v>
      </c>
      <c r="W96" s="86" t="s">
        <v>53</v>
      </c>
      <c r="X96" s="79">
        <f t="shared" si="85"/>
        <v>13.305839013618002</v>
      </c>
      <c r="Y96" s="79">
        <f t="shared" si="84"/>
        <v>15.795602807657243</v>
      </c>
      <c r="Z96" s="137">
        <f t="shared" si="90"/>
        <v>0.18711813599210589</v>
      </c>
      <c r="AA96" s="129">
        <f t="shared" si="86"/>
        <v>0.63883336472898355</v>
      </c>
      <c r="AB96" s="130">
        <f t="shared" si="87"/>
        <v>0.31926285113290326</v>
      </c>
      <c r="AC96" s="130">
        <f t="shared" si="88"/>
        <v>0.22902192013021913</v>
      </c>
      <c r="AD96" s="131">
        <f>SUM(AA96:AC96)</f>
        <v>1.1871181359921059</v>
      </c>
      <c r="AE96" s="132"/>
      <c r="AF96" s="84"/>
    </row>
    <row r="97" spans="1:32" x14ac:dyDescent="0.3">
      <c r="A97" t="s">
        <v>109</v>
      </c>
      <c r="B97">
        <v>0.06</v>
      </c>
      <c r="W97" s="86" t="s">
        <v>54</v>
      </c>
      <c r="X97" s="79">
        <f t="shared" si="85"/>
        <v>36.567628100564001</v>
      </c>
      <c r="Y97" s="79">
        <f t="shared" si="84"/>
        <v>25.23780272024899</v>
      </c>
      <c r="Z97" s="137">
        <f t="shared" si="90"/>
        <v>-0.30983211022484297</v>
      </c>
      <c r="AA97" s="129">
        <f t="shared" si="86"/>
        <v>0.63285596840275848</v>
      </c>
      <c r="AB97" s="130">
        <f t="shared" si="87"/>
        <v>5.5446307996010441E-2</v>
      </c>
      <c r="AC97" s="130">
        <f>V172/X97</f>
        <v>1.8656133763880478E-3</v>
      </c>
      <c r="AD97" s="131">
        <f t="shared" si="89"/>
        <v>0.69016788977515697</v>
      </c>
      <c r="AE97" s="132"/>
      <c r="AF97" s="84"/>
    </row>
    <row r="98" spans="1:32" x14ac:dyDescent="0.3">
      <c r="A98" s="87"/>
      <c r="B98" s="87"/>
      <c r="W98" s="86" t="s">
        <v>55</v>
      </c>
      <c r="X98" s="79">
        <f t="shared" si="85"/>
        <v>13.966107878243999</v>
      </c>
      <c r="Y98" s="79">
        <f t="shared" si="84"/>
        <v>10.937657518752944</v>
      </c>
      <c r="Z98" s="137">
        <f t="shared" si="90"/>
        <v>-0.21684283022105877</v>
      </c>
      <c r="AA98" s="129">
        <f>V113/X98</f>
        <v>0.50531573184064293</v>
      </c>
      <c r="AB98" s="130">
        <f t="shared" si="87"/>
        <v>0.13855489745770966</v>
      </c>
      <c r="AC98" s="130">
        <f t="shared" si="88"/>
        <v>0.13928654048058867</v>
      </c>
      <c r="AD98" s="131">
        <f t="shared" si="89"/>
        <v>0.78315716977894123</v>
      </c>
      <c r="AE98" s="132"/>
      <c r="AF98" s="84"/>
    </row>
    <row r="99" spans="1:32" x14ac:dyDescent="0.3">
      <c r="A99" s="87"/>
      <c r="B99" s="87"/>
      <c r="W99" s="88" t="s">
        <v>56</v>
      </c>
      <c r="X99" s="79">
        <f t="shared" si="85"/>
        <v>10.763356184192</v>
      </c>
      <c r="Y99" s="79">
        <f t="shared" si="84"/>
        <v>7.0579670862186248</v>
      </c>
      <c r="Z99" s="137">
        <f t="shared" si="90"/>
        <v>-0.34425963747399085</v>
      </c>
      <c r="AA99" s="129">
        <f t="shared" si="86"/>
        <v>0.50427176180650624</v>
      </c>
      <c r="AB99" s="130">
        <f t="shared" si="87"/>
        <v>6.7720128273466115E-2</v>
      </c>
      <c r="AC99" s="130">
        <f t="shared" si="88"/>
        <v>8.3748472446036767E-2</v>
      </c>
      <c r="AD99" s="131">
        <f t="shared" si="89"/>
        <v>0.65574036252600909</v>
      </c>
      <c r="AE99" s="132"/>
      <c r="AF99" s="84"/>
    </row>
    <row r="100" spans="1:32" ht="16.2" x14ac:dyDescent="0.3">
      <c r="A100" t="s">
        <v>110</v>
      </c>
      <c r="B100">
        <f>(-2.85*B95+3.6)*((1-B95)*3.9*B97^(-1.2))</f>
        <v>14.951576628406734</v>
      </c>
      <c r="W100" s="88" t="s">
        <v>58</v>
      </c>
      <c r="X100" s="79">
        <f t="shared" si="85"/>
        <v>2.7038282270799998</v>
      </c>
      <c r="Y100" s="79">
        <f t="shared" si="84"/>
        <v>0.31081885362982431</v>
      </c>
      <c r="Z100" s="137">
        <f>(Y100-X100)/X100</f>
        <v>-0.88504489652233076</v>
      </c>
      <c r="AA100" s="129">
        <f t="shared" si="86"/>
        <v>0.10395513620979183</v>
      </c>
      <c r="AB100" s="130">
        <f t="shared" si="87"/>
        <v>5.990081185477788E-3</v>
      </c>
      <c r="AC100" s="130">
        <f t="shared" si="88"/>
        <v>5.0098860823996052E-3</v>
      </c>
      <c r="AD100" s="131">
        <f t="shared" si="89"/>
        <v>0.11495510347766923</v>
      </c>
      <c r="AE100" s="132"/>
      <c r="AF100" s="84"/>
    </row>
    <row r="101" spans="1:32" ht="15" thickBot="1" x14ac:dyDescent="0.35">
      <c r="A101" s="89"/>
      <c r="B101" s="89"/>
      <c r="W101" s="90" t="s">
        <v>57</v>
      </c>
      <c r="X101" s="91">
        <f t="shared" si="85"/>
        <v>0.44824988327999993</v>
      </c>
      <c r="Y101" s="91">
        <f t="shared" si="84"/>
        <v>0.20378417270039656</v>
      </c>
      <c r="Z101" s="138">
        <f>(Y101-X101)/X101</f>
        <v>-0.54537819126859099</v>
      </c>
      <c r="AA101" s="133">
        <f t="shared" si="86"/>
        <v>0.37104587515815018</v>
      </c>
      <c r="AB101" s="134">
        <f t="shared" si="87"/>
        <v>4.832622009338098E-2</v>
      </c>
      <c r="AC101" s="134">
        <f t="shared" si="88"/>
        <v>3.5249713479877889E-2</v>
      </c>
      <c r="AD101" s="135">
        <f t="shared" si="89"/>
        <v>0.45462180873140906</v>
      </c>
      <c r="AE101" s="132"/>
      <c r="AF101" s="84"/>
    </row>
    <row r="102" spans="1:32" x14ac:dyDescent="0.3">
      <c r="A102" t="s">
        <v>111</v>
      </c>
      <c r="B102">
        <f>B94*B103</f>
        <v>1.5359400000000001</v>
      </c>
    </row>
    <row r="103" spans="1:32" x14ac:dyDescent="0.3">
      <c r="A103" t="s">
        <v>112</v>
      </c>
      <c r="B103">
        <v>0.92</v>
      </c>
      <c r="AB103" s="95"/>
      <c r="AC103" s="95"/>
      <c r="AD103" s="95"/>
      <c r="AE103" s="95"/>
      <c r="AF103" s="95"/>
    </row>
    <row r="104" spans="1:32" x14ac:dyDescent="0.3">
      <c r="C104" s="96"/>
      <c r="D104" s="96"/>
      <c r="E104" s="97"/>
      <c r="F104" s="189"/>
      <c r="G104" s="189"/>
      <c r="N104" s="190" t="s">
        <v>114</v>
      </c>
      <c r="O104" s="190"/>
      <c r="P104" s="190"/>
      <c r="Q104" s="100"/>
      <c r="S104" s="191" t="s">
        <v>115</v>
      </c>
      <c r="T104" s="191"/>
      <c r="U104" s="191"/>
      <c r="V104" s="191"/>
      <c r="X104" t="s">
        <v>116</v>
      </c>
    </row>
    <row r="105" spans="1:32" ht="43.2" x14ac:dyDescent="0.3">
      <c r="C105" s="101" t="s">
        <v>117</v>
      </c>
      <c r="D105" s="102" t="s">
        <v>118</v>
      </c>
      <c r="E105" s="102" t="s">
        <v>119</v>
      </c>
      <c r="F105" s="101" t="s">
        <v>156</v>
      </c>
      <c r="G105" s="103" t="s">
        <v>157</v>
      </c>
      <c r="H105" s="102" t="s">
        <v>121</v>
      </c>
      <c r="I105" s="104" t="s">
        <v>122</v>
      </c>
      <c r="J105" s="104" t="s">
        <v>123</v>
      </c>
      <c r="K105" s="105" t="s">
        <v>124</v>
      </c>
      <c r="L105" s="104" t="s">
        <v>125</v>
      </c>
      <c r="M105" s="106" t="s">
        <v>151</v>
      </c>
      <c r="N105" s="107" t="s">
        <v>127</v>
      </c>
      <c r="O105" s="98" t="s">
        <v>128</v>
      </c>
      <c r="P105" s="98" t="s">
        <v>129</v>
      </c>
      <c r="Q105" s="102" t="s">
        <v>130</v>
      </c>
      <c r="S105" s="102" t="s">
        <v>131</v>
      </c>
      <c r="T105" s="98" t="s">
        <v>132</v>
      </c>
      <c r="U105" s="98" t="s">
        <v>133</v>
      </c>
      <c r="V105" s="102" t="s">
        <v>134</v>
      </c>
      <c r="X105" s="102" t="s">
        <v>131</v>
      </c>
      <c r="Y105" s="98" t="s">
        <v>132</v>
      </c>
      <c r="Z105" s="98" t="s">
        <v>133</v>
      </c>
    </row>
    <row r="106" spans="1:32" x14ac:dyDescent="0.3">
      <c r="A106" s="19" t="s">
        <v>135</v>
      </c>
      <c r="B106" s="98"/>
      <c r="C106" s="101" t="s">
        <v>136</v>
      </c>
      <c r="D106" t="s">
        <v>136</v>
      </c>
      <c r="E106" t="s">
        <v>137</v>
      </c>
      <c r="F106" s="101"/>
      <c r="G106" s="103" t="s">
        <v>88</v>
      </c>
      <c r="H106" s="102" t="s">
        <v>12</v>
      </c>
      <c r="I106" s="87"/>
      <c r="J106" s="87"/>
      <c r="K106" s="87"/>
      <c r="L106" s="87"/>
      <c r="M106" s="87" t="s">
        <v>138</v>
      </c>
      <c r="N106" s="102" t="s">
        <v>139</v>
      </c>
      <c r="O106" s="99" t="s">
        <v>140</v>
      </c>
      <c r="P106" s="99" t="s">
        <v>141</v>
      </c>
      <c r="Q106" s="99" t="s">
        <v>142</v>
      </c>
      <c r="S106" s="99" t="s">
        <v>143</v>
      </c>
      <c r="T106" s="99" t="s">
        <v>143</v>
      </c>
      <c r="U106" s="99" t="s">
        <v>142</v>
      </c>
      <c r="V106" s="102" t="s">
        <v>142</v>
      </c>
      <c r="X106" s="102"/>
      <c r="Y106" s="98"/>
      <c r="Z106" s="98"/>
    </row>
    <row r="107" spans="1:32" x14ac:dyDescent="0.3">
      <c r="A107" s="108" t="s">
        <v>49</v>
      </c>
      <c r="B107" s="109"/>
      <c r="C107" s="109">
        <v>0.88</v>
      </c>
      <c r="D107" s="109">
        <f>C107*$B$4</f>
        <v>0.3256</v>
      </c>
      <c r="E107" s="109">
        <f>(-2.85*C107+3.6)*((1-C107)*3.9*$B$8^(-1.2))</f>
        <v>14.951576628406734</v>
      </c>
      <c r="F107" s="110"/>
      <c r="G107" s="66">
        <v>8.0000000000000002E-3</v>
      </c>
      <c r="H107" s="111">
        <v>9.506047936562795E-5</v>
      </c>
      <c r="I107" s="87">
        <f>N107*1000</f>
        <v>21387</v>
      </c>
      <c r="J107" s="87">
        <f>G107*I107</f>
        <v>171.096</v>
      </c>
      <c r="K107" s="87">
        <f>(I107*H107)/1000</f>
        <v>2.033058472192685E-3</v>
      </c>
      <c r="L107" s="87">
        <f>(I107*$B$14*$B$7+$B$5*$B$14*J107+$B$14*$B$11*K107*1000)/1000</f>
        <v>6.6972774494140586</v>
      </c>
      <c r="M107" s="87">
        <f>L107/$B$13</f>
        <v>4.360377000022174</v>
      </c>
      <c r="N107" s="112">
        <v>21.387</v>
      </c>
      <c r="O107" s="112">
        <f>N107*G107</f>
        <v>0.171096</v>
      </c>
      <c r="P107" s="113">
        <f>(L107-N107*D107*$B$14-O107*$B$13)/(E107*$B$14*1000)*100</f>
        <v>2.0330584721926448E-4</v>
      </c>
      <c r="Q107" s="114">
        <f>N107*D107*$B$14+O107*$B$13+P107/100*E107*$B$14*1000</f>
        <v>6.6972774494140586</v>
      </c>
      <c r="R107" s="109"/>
      <c r="S107" s="115">
        <f>N107*D107*$B$14</f>
        <v>6.4065186240000003</v>
      </c>
      <c r="T107" s="116">
        <f t="shared" ref="T107:T116" si="91">O107*$B$13</f>
        <v>0.26279319024000003</v>
      </c>
      <c r="U107" s="116">
        <f>P107/100*E107*$B$14*1000</f>
        <v>2.7965635174058263E-2</v>
      </c>
      <c r="V107" s="116">
        <f>SUM(S107:U107)</f>
        <v>6.6972774494140586</v>
      </c>
      <c r="W107" s="116"/>
      <c r="X107" s="117">
        <f>S107/V107</f>
        <v>0.95658551887536081</v>
      </c>
      <c r="Y107" s="117">
        <f>T107/V107</f>
        <v>3.9238808937651477E-2</v>
      </c>
      <c r="Z107" s="117">
        <f>U107/V107</f>
        <v>4.1756721869877084E-3</v>
      </c>
      <c r="AC107" s="118"/>
    </row>
    <row r="108" spans="1:32" x14ac:dyDescent="0.3">
      <c r="A108" s="108" t="s">
        <v>50</v>
      </c>
      <c r="B108" s="119"/>
      <c r="C108" s="120">
        <v>0.88</v>
      </c>
      <c r="D108" s="109">
        <f>C108*$B$4</f>
        <v>0.3256</v>
      </c>
      <c r="E108" s="109">
        <f>(-2.85*C108+3.6)*((1-C108)*3.9*$B$8^(-1.2))</f>
        <v>14.951576628406734</v>
      </c>
      <c r="F108" s="110"/>
      <c r="G108" s="66">
        <v>0.16600000000000001</v>
      </c>
      <c r="H108" s="111">
        <v>2.5292979964461428E-3</v>
      </c>
      <c r="I108" s="87">
        <f t="shared" ref="I108:I116" si="92">N108*1000</f>
        <v>9049</v>
      </c>
      <c r="J108" s="87">
        <f t="shared" ref="J108:J116" si="93">G108*I108</f>
        <v>1502.134</v>
      </c>
      <c r="K108" s="87">
        <f t="shared" ref="K108:K116" si="94">(I108*H108)/1000</f>
        <v>2.2887617569841149E-2</v>
      </c>
      <c r="L108" s="87">
        <f t="shared" ref="L108:L116" si="95">(I108*$B$14*$B$7+$B$5*$B$14*J108+$B$14*$B$11*K108*1000)/1000</f>
        <v>5.3326632344621769</v>
      </c>
      <c r="M108" s="87">
        <f t="shared" ref="M108:M116" si="96">L108/$B$13</f>
        <v>3.4719215818731048</v>
      </c>
      <c r="N108" s="112">
        <v>9.0489999999999995</v>
      </c>
      <c r="O108" s="112">
        <f t="shared" ref="O108:O116" si="97">N108*G108</f>
        <v>1.5021340000000001</v>
      </c>
      <c r="P108" s="113">
        <f t="shared" ref="P108:P116" si="98">(L108-N108*D108*$B$14-O108*$B$13)/(E108*$B$14*1000)*100</f>
        <v>2.2887617569841202E-3</v>
      </c>
      <c r="Q108" s="114">
        <f t="shared" ref="Q108:Q116" si="99">N108*D108*$B$14+O108*$B$13+P108/100*E108*$B$14*1000</f>
        <v>5.3326632344621769</v>
      </c>
      <c r="R108" s="109"/>
      <c r="S108" s="115">
        <f t="shared" ref="S108:S116" si="100">N108*D108*$B$14</f>
        <v>2.7106460479999996</v>
      </c>
      <c r="T108" s="116">
        <f t="shared" si="91"/>
        <v>2.3071876959600002</v>
      </c>
      <c r="U108" s="116">
        <f t="shared" ref="U108:U116" si="101">P108/100*E108*$B$14*1000</f>
        <v>0.31482949050217718</v>
      </c>
      <c r="V108" s="116">
        <f t="shared" ref="V108:V115" si="102">SUM(S108:U108)</f>
        <v>5.3326632344621769</v>
      </c>
      <c r="W108" s="116"/>
      <c r="X108" s="117">
        <f t="shared" ref="X108:X116" si="103">S108/V108</f>
        <v>0.5083099998669578</v>
      </c>
      <c r="Y108" s="117">
        <f t="shared" ref="Y108:Y116" si="104">T108/V108</f>
        <v>0.43265205292730069</v>
      </c>
      <c r="Z108" s="117">
        <f t="shared" ref="Z108:Z116" si="105">U108/V108</f>
        <v>5.9037947205741591E-2</v>
      </c>
      <c r="AC108" s="118"/>
    </row>
    <row r="109" spans="1:32" x14ac:dyDescent="0.3">
      <c r="A109" s="108" t="s">
        <v>51</v>
      </c>
      <c r="B109" s="119"/>
      <c r="C109" s="120">
        <v>0.88</v>
      </c>
      <c r="D109" s="109">
        <f>C109*$B$4</f>
        <v>0.3256</v>
      </c>
      <c r="E109" s="109">
        <f>(-2.85*C109+3.6)*((1-C109)*3.9*$B$8^(-1.2))</f>
        <v>14.951576628406734</v>
      </c>
      <c r="F109" s="110"/>
      <c r="G109" s="66">
        <v>0.22</v>
      </c>
      <c r="H109" s="111">
        <v>1.1694993910198723E-2</v>
      </c>
      <c r="I109" s="87">
        <f t="shared" si="92"/>
        <v>482</v>
      </c>
      <c r="J109" s="87">
        <f t="shared" si="93"/>
        <v>106.04</v>
      </c>
      <c r="K109" s="87">
        <f t="shared" si="94"/>
        <v>5.6369870647157844E-3</v>
      </c>
      <c r="L109" s="87">
        <f t="shared" si="95"/>
        <v>0.38479443812732073</v>
      </c>
      <c r="M109" s="87">
        <f t="shared" si="96"/>
        <v>0.25052699853335464</v>
      </c>
      <c r="N109" s="112">
        <v>0.48199999999999998</v>
      </c>
      <c r="O109" s="112">
        <f t="shared" si="97"/>
        <v>0.10604</v>
      </c>
      <c r="P109" s="113">
        <f t="shared" si="98"/>
        <v>5.6369870647157824E-4</v>
      </c>
      <c r="Q109" s="114">
        <f t="shared" si="99"/>
        <v>0.38479443812732073</v>
      </c>
      <c r="R109" s="109"/>
      <c r="S109" s="115">
        <f t="shared" si="100"/>
        <v>0.14438406400000001</v>
      </c>
      <c r="T109" s="116">
        <f t="shared" si="91"/>
        <v>0.1628710776</v>
      </c>
      <c r="U109" s="116">
        <f t="shared" si="101"/>
        <v>7.7539296527320722E-2</v>
      </c>
      <c r="V109" s="116">
        <f t="shared" si="102"/>
        <v>0.38479443812732073</v>
      </c>
      <c r="W109" s="116"/>
      <c r="X109" s="117">
        <f t="shared" si="103"/>
        <v>0.37522388499863457</v>
      </c>
      <c r="Y109" s="117">
        <f t="shared" si="104"/>
        <v>0.42326775405758138</v>
      </c>
      <c r="Z109" s="117">
        <f>U109/V109</f>
        <v>0.20150836094378405</v>
      </c>
      <c r="AC109" s="118"/>
    </row>
    <row r="110" spans="1:32" x14ac:dyDescent="0.3">
      <c r="A110" s="121" t="s">
        <v>52</v>
      </c>
      <c r="B110" s="109"/>
      <c r="C110" s="120">
        <v>0.88</v>
      </c>
      <c r="D110" s="109">
        <f>C110*$B$4</f>
        <v>0.3256</v>
      </c>
      <c r="E110" s="109">
        <f>(-2.85*C110+3.6)*((1-C110)*3.9*$B$8^(-1.2))</f>
        <v>14.951576628406734</v>
      </c>
      <c r="F110" s="110"/>
      <c r="G110" s="66">
        <v>0.11799999999999999</v>
      </c>
      <c r="H110" s="111">
        <v>2.2803420720004172E-4</v>
      </c>
      <c r="I110" s="87">
        <f t="shared" si="92"/>
        <v>30510</v>
      </c>
      <c r="J110" s="87">
        <f t="shared" si="93"/>
        <v>3600.18</v>
      </c>
      <c r="K110" s="87">
        <f t="shared" si="94"/>
        <v>6.9573236616732731E-3</v>
      </c>
      <c r="L110" s="87">
        <f t="shared" si="95"/>
        <v>14.764693110427645</v>
      </c>
      <c r="M110" s="87">
        <f t="shared" si="96"/>
        <v>9.6128059106655499</v>
      </c>
      <c r="N110" s="112">
        <v>30.51</v>
      </c>
      <c r="O110" s="112">
        <f t="shared" si="97"/>
        <v>3.6001799999999999</v>
      </c>
      <c r="P110" s="113">
        <f t="shared" si="98"/>
        <v>6.957323661673238E-4</v>
      </c>
      <c r="Q110" s="114">
        <f t="shared" si="99"/>
        <v>14.764693110427647</v>
      </c>
      <c r="R110" s="109"/>
      <c r="S110" s="115">
        <f t="shared" si="100"/>
        <v>9.1393315200000007</v>
      </c>
      <c r="T110" s="116">
        <f t="shared" si="91"/>
        <v>5.5296604692000004</v>
      </c>
      <c r="U110" s="116">
        <f t="shared" si="101"/>
        <v>9.5701121227643987E-2</v>
      </c>
      <c r="V110" s="116">
        <f t="shared" si="102"/>
        <v>14.764693110427647</v>
      </c>
      <c r="W110" s="116"/>
      <c r="X110" s="117">
        <f t="shared" si="103"/>
        <v>0.61899908461661801</v>
      </c>
      <c r="Y110" s="117">
        <f t="shared" si="104"/>
        <v>0.37451916052997042</v>
      </c>
      <c r="Z110" s="117">
        <f t="shared" si="105"/>
        <v>6.4817548534113817E-3</v>
      </c>
      <c r="AC110" s="118"/>
    </row>
    <row r="111" spans="1:32" x14ac:dyDescent="0.3">
      <c r="A111" s="122" t="s">
        <v>53</v>
      </c>
      <c r="B111" s="109"/>
      <c r="C111" s="120">
        <v>0.88</v>
      </c>
      <c r="D111" s="109">
        <f>C111*$B$4</f>
        <v>0.3256</v>
      </c>
      <c r="E111" s="109">
        <f>(-2.85*C111+3.6)*((1-C111)*3.9*$B$8^(-1.2))</f>
        <v>14.951576628406734</v>
      </c>
      <c r="F111" s="123"/>
      <c r="G111" s="66">
        <v>0.13300000000000001</v>
      </c>
      <c r="H111" s="111">
        <v>7.7624711662869063E-4</v>
      </c>
      <c r="I111" s="87">
        <f t="shared" si="92"/>
        <v>16521</v>
      </c>
      <c r="J111" s="87">
        <f t="shared" si="93"/>
        <v>2197.2930000000001</v>
      </c>
      <c r="K111" s="87">
        <f t="shared" si="94"/>
        <v>1.2824378613822598E-2</v>
      </c>
      <c r="L111" s="87">
        <f t="shared" si="95"/>
        <v>8.5002139076117675</v>
      </c>
      <c r="M111" s="87">
        <f t="shared" si="96"/>
        <v>5.5342096094976148</v>
      </c>
      <c r="N111" s="112">
        <v>16.521000000000001</v>
      </c>
      <c r="O111" s="112">
        <f t="shared" si="97"/>
        <v>2.1972930000000002</v>
      </c>
      <c r="P111" s="113">
        <f t="shared" si="98"/>
        <v>1.2824378613822509E-3</v>
      </c>
      <c r="Q111" s="114">
        <f t="shared" si="99"/>
        <v>8.5002139076117675</v>
      </c>
      <c r="R111" s="109"/>
      <c r="S111" s="115">
        <f t="shared" si="100"/>
        <v>4.9488985920000008</v>
      </c>
      <c r="T111" s="116">
        <f t="shared" si="91"/>
        <v>3.3749102104200004</v>
      </c>
      <c r="U111" s="116">
        <f t="shared" si="101"/>
        <v>0.17640510519176636</v>
      </c>
      <c r="V111" s="116">
        <f t="shared" si="102"/>
        <v>8.5002139076117675</v>
      </c>
      <c r="W111" s="116"/>
      <c r="X111" s="117">
        <f t="shared" si="103"/>
        <v>0.58220871213233394</v>
      </c>
      <c r="Y111" s="117">
        <f t="shared" si="104"/>
        <v>0.39703826834261635</v>
      </c>
      <c r="Z111" s="117">
        <f>U111/V111</f>
        <v>2.0753019525049741E-2</v>
      </c>
      <c r="AC111" s="118"/>
    </row>
    <row r="112" spans="1:32" x14ac:dyDescent="0.3">
      <c r="A112" s="122" t="s">
        <v>54</v>
      </c>
      <c r="B112" s="109"/>
      <c r="C112" s="120">
        <v>0.88</v>
      </c>
      <c r="D112" s="109">
        <f t="shared" ref="D112:D116" si="106">C112*$B$4</f>
        <v>0.3256</v>
      </c>
      <c r="E112" s="109">
        <f t="shared" ref="E112:E116" si="107">(-2.85*C112+3.6)*((1-C112)*3.9*$B$8^(-1.2))</f>
        <v>14.951576628406734</v>
      </c>
      <c r="F112" s="123"/>
      <c r="G112" s="66">
        <v>0.122</v>
      </c>
      <c r="H112" s="111">
        <v>6.9984199600227391E-5</v>
      </c>
      <c r="I112" s="87">
        <f t="shared" si="92"/>
        <v>47432</v>
      </c>
      <c r="J112" s="87">
        <f t="shared" si="93"/>
        <v>5786.7039999999997</v>
      </c>
      <c r="K112" s="87">
        <f t="shared" si="94"/>
        <v>3.3194905554379856E-3</v>
      </c>
      <c r="L112" s="87">
        <f t="shared" si="95"/>
        <v>23.142041693774352</v>
      </c>
      <c r="M112" s="87">
        <f t="shared" si="96"/>
        <v>15.067021949929263</v>
      </c>
      <c r="N112" s="112">
        <v>47.432000000000002</v>
      </c>
      <c r="O112" s="112">
        <f t="shared" si="97"/>
        <v>5.7867040000000003</v>
      </c>
      <c r="P112" s="113">
        <f t="shared" si="98"/>
        <v>3.3194905554379298E-4</v>
      </c>
      <c r="Q112" s="114">
        <f t="shared" si="99"/>
        <v>23.142041693774356</v>
      </c>
      <c r="R112" s="109"/>
      <c r="S112" s="115">
        <f t="shared" si="100"/>
        <v>14.208350464</v>
      </c>
      <c r="T112" s="116">
        <f t="shared" si="91"/>
        <v>8.8880301417600016</v>
      </c>
      <c r="U112" s="116">
        <f t="shared" si="101"/>
        <v>4.5661088014350433E-2</v>
      </c>
      <c r="V112" s="116">
        <f t="shared" si="102"/>
        <v>23.142041693774356</v>
      </c>
      <c r="W112" s="116"/>
      <c r="X112" s="117">
        <f t="shared" si="103"/>
        <v>0.61396270268678643</v>
      </c>
      <c r="Y112" s="117">
        <f t="shared" si="104"/>
        <v>0.38406421781493238</v>
      </c>
      <c r="Z112" s="117">
        <f t="shared" si="105"/>
        <v>1.9730794982810063E-3</v>
      </c>
      <c r="AC112" s="118"/>
    </row>
    <row r="113" spans="1:29" x14ac:dyDescent="0.3">
      <c r="A113" s="122" t="s">
        <v>55</v>
      </c>
      <c r="B113" s="109"/>
      <c r="C113" s="120">
        <v>0.88</v>
      </c>
      <c r="D113" s="109">
        <f t="shared" si="106"/>
        <v>0.3256</v>
      </c>
      <c r="E113" s="109">
        <f t="shared" si="107"/>
        <v>14.951576628406734</v>
      </c>
      <c r="F113" s="122"/>
      <c r="G113" s="66">
        <v>0.19400000000000001</v>
      </c>
      <c r="H113" s="111">
        <v>1.0543868963912584E-3</v>
      </c>
      <c r="I113" s="87">
        <f t="shared" si="92"/>
        <v>11531</v>
      </c>
      <c r="J113" s="87">
        <f t="shared" si="93"/>
        <v>2237.0140000000001</v>
      </c>
      <c r="K113" s="87">
        <f t="shared" si="94"/>
        <v>1.2158135302287602E-2</v>
      </c>
      <c r="L113" s="87">
        <f t="shared" si="95"/>
        <v>7.0572940234602353</v>
      </c>
      <c r="M113" s="87">
        <f t="shared" si="96"/>
        <v>4.5947719464694163</v>
      </c>
      <c r="N113" s="112">
        <v>11.531000000000001</v>
      </c>
      <c r="O113" s="112">
        <f t="shared" si="97"/>
        <v>2.2370140000000003</v>
      </c>
      <c r="P113" s="113">
        <f t="shared" si="98"/>
        <v>1.2158135302287574E-3</v>
      </c>
      <c r="Q113" s="114">
        <f t="shared" si="99"/>
        <v>7.0572940234602353</v>
      </c>
      <c r="R113" s="109"/>
      <c r="S113" s="115">
        <f t="shared" si="100"/>
        <v>3.4541341120000002</v>
      </c>
      <c r="T113" s="116">
        <f t="shared" si="91"/>
        <v>3.4359192831600005</v>
      </c>
      <c r="U113" s="116">
        <f t="shared" si="101"/>
        <v>0.16724062830023456</v>
      </c>
      <c r="V113" s="116">
        <f t="shared" si="102"/>
        <v>7.0572940234602353</v>
      </c>
      <c r="W113" s="116"/>
      <c r="X113" s="117">
        <f t="shared" si="103"/>
        <v>0.48944171810294179</v>
      </c>
      <c r="Y113" s="117">
        <f t="shared" si="104"/>
        <v>0.48686072476761394</v>
      </c>
      <c r="Z113" s="117">
        <f t="shared" si="105"/>
        <v>2.3697557129444272E-2</v>
      </c>
      <c r="AC113" s="118"/>
    </row>
    <row r="114" spans="1:29" x14ac:dyDescent="0.3">
      <c r="A114" s="124" t="s">
        <v>56</v>
      </c>
      <c r="B114" s="109"/>
      <c r="C114" s="120">
        <v>0.88</v>
      </c>
      <c r="D114" s="109">
        <f t="shared" si="106"/>
        <v>0.3256</v>
      </c>
      <c r="E114" s="109">
        <f t="shared" si="107"/>
        <v>14.951576628406734</v>
      </c>
      <c r="F114" s="122"/>
      <c r="G114" s="66">
        <v>0.36799999999999999</v>
      </c>
      <c r="H114" s="111">
        <v>4.4668359215096279E-3</v>
      </c>
      <c r="I114" s="87">
        <f t="shared" si="92"/>
        <v>5860</v>
      </c>
      <c r="J114" s="87">
        <f t="shared" si="93"/>
        <v>2156.48</v>
      </c>
      <c r="K114" s="87">
        <f t="shared" si="94"/>
        <v>2.6175658500046422E-2</v>
      </c>
      <c r="L114" s="87">
        <f t="shared" si="95"/>
        <v>5.4276565859534536</v>
      </c>
      <c r="M114" s="87">
        <f t="shared" si="96"/>
        <v>3.5337686276504638</v>
      </c>
      <c r="N114" s="112">
        <v>5.86</v>
      </c>
      <c r="O114" s="112">
        <f t="shared" si="97"/>
        <v>2.1564800000000002</v>
      </c>
      <c r="P114" s="113">
        <f t="shared" si="98"/>
        <v>2.6175658500046332E-3</v>
      </c>
      <c r="Q114" s="114">
        <f t="shared" si="99"/>
        <v>5.4276565859534545</v>
      </c>
      <c r="R114" s="109"/>
      <c r="S114" s="115">
        <f t="shared" si="100"/>
        <v>1.7553747200000003</v>
      </c>
      <c r="T114" s="116">
        <f t="shared" si="91"/>
        <v>3.3122238912000004</v>
      </c>
      <c r="U114" s="116">
        <f t="shared" si="101"/>
        <v>0.36005797475345297</v>
      </c>
      <c r="V114" s="116">
        <f t="shared" si="102"/>
        <v>5.4276565859534545</v>
      </c>
      <c r="W114" s="116"/>
      <c r="X114" s="117">
        <f t="shared" si="103"/>
        <v>0.32341300378930304</v>
      </c>
      <c r="Y114" s="117">
        <f t="shared" si="104"/>
        <v>0.61024934771516226</v>
      </c>
      <c r="Z114" s="117">
        <f t="shared" si="105"/>
        <v>6.6337648495534474E-2</v>
      </c>
      <c r="AC114" s="118"/>
    </row>
    <row r="115" spans="1:29" x14ac:dyDescent="0.3">
      <c r="A115" s="124" t="s">
        <v>58</v>
      </c>
      <c r="B115" s="109"/>
      <c r="C115" s="120">
        <v>0.88</v>
      </c>
      <c r="D115" s="109">
        <f t="shared" si="106"/>
        <v>0.3256</v>
      </c>
      <c r="E115" s="109">
        <f t="shared" si="107"/>
        <v>14.951576628406734</v>
      </c>
      <c r="F115" s="109"/>
      <c r="G115" s="66">
        <v>0.22</v>
      </c>
      <c r="H115" s="111">
        <v>1.5205475297324944E-2</v>
      </c>
      <c r="I115" s="87">
        <f t="shared" si="92"/>
        <v>332</v>
      </c>
      <c r="J115" s="87">
        <f t="shared" si="93"/>
        <v>73.040000000000006</v>
      </c>
      <c r="K115" s="87">
        <f t="shared" si="94"/>
        <v>5.048217798711882E-3</v>
      </c>
      <c r="L115" s="87">
        <f t="shared" si="95"/>
        <v>0.28107683163398134</v>
      </c>
      <c r="M115" s="87">
        <f t="shared" si="96"/>
        <v>0.18299987736108267</v>
      </c>
      <c r="N115" s="112">
        <v>0.33200000000000002</v>
      </c>
      <c r="O115" s="112">
        <f t="shared" si="97"/>
        <v>7.3040000000000008E-2</v>
      </c>
      <c r="P115" s="113">
        <f t="shared" si="98"/>
        <v>5.0482177987118859E-4</v>
      </c>
      <c r="Q115" s="114">
        <f t="shared" si="99"/>
        <v>0.28107683163398134</v>
      </c>
      <c r="R115" s="109"/>
      <c r="S115" s="115">
        <f t="shared" si="100"/>
        <v>9.9451264000000011E-2</v>
      </c>
      <c r="T115" s="116">
        <f t="shared" si="91"/>
        <v>0.11218505760000001</v>
      </c>
      <c r="U115" s="116">
        <f t="shared" si="101"/>
        <v>6.9440510033981329E-2</v>
      </c>
      <c r="V115" s="116">
        <f t="shared" si="102"/>
        <v>0.28107683163398134</v>
      </c>
      <c r="W115" s="116"/>
      <c r="X115" s="117">
        <f t="shared" si="103"/>
        <v>0.3538223460890067</v>
      </c>
      <c r="Y115" s="117">
        <f t="shared" si="104"/>
        <v>0.39912595053756533</v>
      </c>
      <c r="Z115" s="117">
        <f t="shared" si="105"/>
        <v>0.24705170337342802</v>
      </c>
      <c r="AC115" s="118"/>
    </row>
    <row r="116" spans="1:29" x14ac:dyDescent="0.3">
      <c r="A116" s="124" t="s">
        <v>57</v>
      </c>
      <c r="B116" s="109"/>
      <c r="C116" s="120">
        <v>0.88</v>
      </c>
      <c r="D116" s="109">
        <f t="shared" si="106"/>
        <v>0.3256</v>
      </c>
      <c r="E116" s="109">
        <f t="shared" si="107"/>
        <v>14.951576628406734</v>
      </c>
      <c r="F116" s="109"/>
      <c r="G116" s="66">
        <v>0.24199999999999999</v>
      </c>
      <c r="H116" s="111">
        <v>4.4668359215096279E-3</v>
      </c>
      <c r="I116" s="87">
        <f t="shared" si="92"/>
        <v>227</v>
      </c>
      <c r="J116" s="87">
        <f t="shared" si="93"/>
        <v>54.933999999999997</v>
      </c>
      <c r="K116" s="87">
        <f t="shared" si="94"/>
        <v>1.0139717541826855E-3</v>
      </c>
      <c r="L116" s="87">
        <f t="shared" si="95"/>
        <v>0.16632127023116625</v>
      </c>
      <c r="M116" s="87">
        <f t="shared" si="96"/>
        <v>0.10828630690727908</v>
      </c>
      <c r="N116" s="112">
        <v>0.22700000000000001</v>
      </c>
      <c r="O116" s="112">
        <f t="shared" si="97"/>
        <v>5.4933999999999997E-2</v>
      </c>
      <c r="P116" s="113">
        <f t="shared" si="98"/>
        <v>1.0139717541826876E-4</v>
      </c>
      <c r="Q116" s="114">
        <f t="shared" si="99"/>
        <v>0.16632127023116625</v>
      </c>
      <c r="R116" s="109"/>
      <c r="S116" s="115">
        <f t="shared" si="100"/>
        <v>6.7998303999999996E-2</v>
      </c>
      <c r="T116" s="116">
        <f t="shared" si="91"/>
        <v>8.4375327959999996E-2</v>
      </c>
      <c r="U116" s="116">
        <f t="shared" si="101"/>
        <v>1.3947638271166256E-2</v>
      </c>
      <c r="V116" s="116">
        <f t="shared" ref="V116" si="108">SUM(S116:U116)</f>
        <v>0.16632127023116625</v>
      </c>
      <c r="W116" s="116"/>
      <c r="X116" s="117">
        <f t="shared" si="103"/>
        <v>0.40883708923994305</v>
      </c>
      <c r="Y116" s="117">
        <f t="shared" si="104"/>
        <v>0.50730329225317117</v>
      </c>
      <c r="Z116" s="117">
        <f t="shared" si="105"/>
        <v>8.3859618506885752E-2</v>
      </c>
      <c r="AC116" s="118"/>
    </row>
    <row r="119" spans="1:29" ht="18" x14ac:dyDescent="0.35">
      <c r="A119" s="70" t="s">
        <v>92</v>
      </c>
    </row>
    <row r="120" spans="1:29" ht="21" x14ac:dyDescent="0.4">
      <c r="A120" s="71" t="s">
        <v>144</v>
      </c>
    </row>
    <row r="121" spans="1:29" x14ac:dyDescent="0.3">
      <c r="A121" s="30" t="s">
        <v>103</v>
      </c>
      <c r="B121" s="77" t="s">
        <v>104</v>
      </c>
    </row>
    <row r="122" spans="1:29" x14ac:dyDescent="0.3">
      <c r="A122" t="s">
        <v>105</v>
      </c>
      <c r="B122">
        <v>0.37</v>
      </c>
    </row>
    <row r="123" spans="1:29" x14ac:dyDescent="0.3">
      <c r="A123" t="s">
        <v>106</v>
      </c>
      <c r="B123">
        <f>2.65*(1-B122)</f>
        <v>1.6695</v>
      </c>
    </row>
    <row r="124" spans="1:29" x14ac:dyDescent="0.3">
      <c r="A124" t="s">
        <v>107</v>
      </c>
      <c r="B124">
        <v>0.88</v>
      </c>
    </row>
    <row r="125" spans="1:29" x14ac:dyDescent="0.3">
      <c r="A125" t="s">
        <v>108</v>
      </c>
      <c r="B125">
        <f>B122*B124</f>
        <v>0.3256</v>
      </c>
    </row>
    <row r="126" spans="1:29" x14ac:dyDescent="0.3">
      <c r="A126" t="s">
        <v>109</v>
      </c>
      <c r="B126">
        <v>0.06</v>
      </c>
    </row>
    <row r="127" spans="1:29" x14ac:dyDescent="0.3">
      <c r="A127" s="87"/>
      <c r="B127" s="87"/>
    </row>
    <row r="128" spans="1:29" x14ac:dyDescent="0.3">
      <c r="A128" s="87"/>
      <c r="B128" s="87"/>
    </row>
    <row r="129" spans="1:26" ht="16.2" x14ac:dyDescent="0.3">
      <c r="A129" t="s">
        <v>110</v>
      </c>
      <c r="B129">
        <f>(-2.85*B124+3.6)*((1-B124)*3.9*B126^(-1.2))</f>
        <v>14.951576628406734</v>
      </c>
    </row>
    <row r="130" spans="1:26" x14ac:dyDescent="0.3">
      <c r="A130" s="87"/>
      <c r="B130" s="87"/>
    </row>
    <row r="131" spans="1:26" x14ac:dyDescent="0.3">
      <c r="A131" t="s">
        <v>111</v>
      </c>
      <c r="B131">
        <f>B123*B132</f>
        <v>1.3356000000000001</v>
      </c>
    </row>
    <row r="132" spans="1:26" x14ac:dyDescent="0.3">
      <c r="A132" t="s">
        <v>145</v>
      </c>
      <c r="B132">
        <v>0.8</v>
      </c>
    </row>
    <row r="134" spans="1:26" x14ac:dyDescent="0.3">
      <c r="C134" s="96"/>
      <c r="D134" s="96"/>
      <c r="E134" s="97"/>
      <c r="F134" s="189"/>
      <c r="G134" s="189"/>
      <c r="N134" s="190" t="s">
        <v>114</v>
      </c>
      <c r="O134" s="190"/>
      <c r="P134" s="190"/>
      <c r="Q134" s="100"/>
      <c r="S134" s="191" t="s">
        <v>115</v>
      </c>
      <c r="T134" s="191"/>
      <c r="U134" s="191"/>
      <c r="V134" s="191"/>
      <c r="X134" t="s">
        <v>116</v>
      </c>
    </row>
    <row r="135" spans="1:26" ht="43.2" x14ac:dyDescent="0.3">
      <c r="C135" s="101" t="s">
        <v>117</v>
      </c>
      <c r="D135" s="102" t="s">
        <v>118</v>
      </c>
      <c r="E135" s="102" t="s">
        <v>119</v>
      </c>
      <c r="F135" s="101"/>
      <c r="G135" s="103" t="s">
        <v>157</v>
      </c>
      <c r="H135" s="102" t="s">
        <v>121</v>
      </c>
      <c r="I135" s="104" t="s">
        <v>122</v>
      </c>
      <c r="J135" s="104" t="s">
        <v>123</v>
      </c>
      <c r="K135" s="105" t="s">
        <v>124</v>
      </c>
      <c r="L135" s="104" t="s">
        <v>125</v>
      </c>
      <c r="M135" s="106" t="s">
        <v>126</v>
      </c>
      <c r="N135" s="107" t="s">
        <v>127</v>
      </c>
      <c r="O135" s="98" t="s">
        <v>128</v>
      </c>
      <c r="P135" s="98" t="s">
        <v>129</v>
      </c>
      <c r="Q135" s="102" t="s">
        <v>130</v>
      </c>
      <c r="S135" s="102" t="s">
        <v>131</v>
      </c>
      <c r="T135" s="98" t="s">
        <v>132</v>
      </c>
      <c r="U135" s="98" t="s">
        <v>133</v>
      </c>
      <c r="V135" s="102" t="s">
        <v>134</v>
      </c>
      <c r="X135" s="102" t="s">
        <v>131</v>
      </c>
      <c r="Y135" s="98" t="s">
        <v>132</v>
      </c>
      <c r="Z135" s="98" t="s">
        <v>133</v>
      </c>
    </row>
    <row r="136" spans="1:26" x14ac:dyDescent="0.3">
      <c r="A136" s="19" t="s">
        <v>135</v>
      </c>
      <c r="B136" s="98"/>
      <c r="C136" s="101" t="s">
        <v>136</v>
      </c>
      <c r="D136" t="s">
        <v>136</v>
      </c>
      <c r="E136" t="s">
        <v>137</v>
      </c>
      <c r="F136" s="101"/>
      <c r="G136" s="103" t="s">
        <v>88</v>
      </c>
      <c r="H136" s="102" t="s">
        <v>12</v>
      </c>
      <c r="I136" s="87"/>
      <c r="J136" s="87"/>
      <c r="K136" s="87"/>
      <c r="L136" s="87"/>
      <c r="M136" s="87" t="s">
        <v>138</v>
      </c>
      <c r="N136" s="102" t="s">
        <v>139</v>
      </c>
      <c r="O136" s="99" t="s">
        <v>140</v>
      </c>
      <c r="P136" s="99" t="s">
        <v>141</v>
      </c>
      <c r="Q136" s="99" t="s">
        <v>142</v>
      </c>
      <c r="S136" s="99" t="s">
        <v>143</v>
      </c>
      <c r="T136" s="99" t="s">
        <v>143</v>
      </c>
      <c r="U136" s="99" t="s">
        <v>142</v>
      </c>
      <c r="V136" s="102" t="s">
        <v>142</v>
      </c>
      <c r="X136" s="102"/>
      <c r="Y136" s="98"/>
      <c r="Z136" s="98"/>
    </row>
    <row r="137" spans="1:26" x14ac:dyDescent="0.3">
      <c r="A137" s="108" t="s">
        <v>49</v>
      </c>
      <c r="B137" s="109"/>
      <c r="C137" s="109">
        <v>0.88</v>
      </c>
      <c r="D137" s="109">
        <f>C137*$B$4</f>
        <v>0.3256</v>
      </c>
      <c r="E137" s="109">
        <f>(-2.85*C137+3.6)*((1-C137)*3.9*$B$8^(-1.2))</f>
        <v>14.951576628406734</v>
      </c>
      <c r="F137" s="110"/>
      <c r="G137" s="66">
        <v>8.0000000000000002E-3</v>
      </c>
      <c r="H137" s="111">
        <v>9.506047936562795E-5</v>
      </c>
      <c r="I137" s="87">
        <f>N137*1000</f>
        <v>3723</v>
      </c>
      <c r="J137" s="87">
        <f>G137*I137</f>
        <v>29.783999999999999</v>
      </c>
      <c r="K137" s="87">
        <f>(I137*H137)/1000</f>
        <v>3.5391016467823283E-4</v>
      </c>
      <c r="L137" s="87">
        <f>(I137*$B$43*$B$36+$B$34*$B$43*J137+$B$43*$B$40*K137*1000)/1000</f>
        <v>1.013779762357407</v>
      </c>
      <c r="M137" s="87">
        <f>L137/$B$42</f>
        <v>0.75904444620949896</v>
      </c>
      <c r="N137" s="112">
        <v>3.7229999999999999</v>
      </c>
      <c r="O137" s="112">
        <f>N137*G137</f>
        <v>2.9783999999999998E-2</v>
      </c>
      <c r="P137" s="113">
        <f>(L137-N137*D137*$B$43-O137*$B$42)/(E137*$B$43*1000)*100</f>
        <v>3.5391016467823477E-5</v>
      </c>
      <c r="Q137" s="114">
        <f>N137*D137*$B$43+O137*$B$42+P137/100*E137*$B$43*1000</f>
        <v>1.013779762357407</v>
      </c>
      <c r="R137" s="109"/>
      <c r="S137" s="115">
        <f>N137*D137*$B$43</f>
        <v>0.96976704000000002</v>
      </c>
      <c r="T137" s="116">
        <f>O137*$B$42</f>
        <v>3.9779510400000002E-2</v>
      </c>
      <c r="U137" s="116">
        <f>P137/100*E137*$B$43*1000</f>
        <v>4.2332119574069391E-3</v>
      </c>
      <c r="V137" s="116">
        <f>SUM(S137:U137)</f>
        <v>1.013779762357407</v>
      </c>
      <c r="W137" s="116"/>
      <c r="X137" s="117">
        <f>S137/V137</f>
        <v>0.9565855188753607</v>
      </c>
      <c r="Y137" s="117">
        <f>T137/V137</f>
        <v>3.923880893765147E-2</v>
      </c>
      <c r="Z137" s="117">
        <f>U137/V137</f>
        <v>4.1756721869878133E-3</v>
      </c>
    </row>
    <row r="138" spans="1:26" x14ac:dyDescent="0.3">
      <c r="A138" s="108" t="s">
        <v>50</v>
      </c>
      <c r="B138" s="119"/>
      <c r="C138" s="120">
        <v>0.88</v>
      </c>
      <c r="D138" s="109">
        <f>C138*$B$4</f>
        <v>0.3256</v>
      </c>
      <c r="E138" s="109">
        <f>(-2.85*C138+3.6)*((1-C138)*3.9*$B$8^(-1.2))</f>
        <v>14.951576628406734</v>
      </c>
      <c r="F138" s="110"/>
      <c r="G138" s="66">
        <v>0.16600000000000001</v>
      </c>
      <c r="H138" s="111">
        <v>2.5292979964461428E-3</v>
      </c>
      <c r="I138" s="87">
        <f t="shared" ref="I138:I146" si="109">N138*1000</f>
        <v>1761</v>
      </c>
      <c r="J138" s="87">
        <f t="shared" ref="J138:J146" si="110">G138*I138</f>
        <v>292.32600000000002</v>
      </c>
      <c r="K138" s="87">
        <f t="shared" ref="K138:K146" si="111">(I138*H138)/1000</f>
        <v>4.4540937717416577E-3</v>
      </c>
      <c r="L138" s="87">
        <f t="shared" ref="L138:L146" si="112">(I138*$B$43*$B$36+$B$34*$B$43*J138+$B$43*$B$40*K138*1000)/1000</f>
        <v>0.90241246507064388</v>
      </c>
      <c r="M138" s="87">
        <f t="shared" ref="M138:M146" si="113">L138/$B$42</f>
        <v>0.67566072556951462</v>
      </c>
      <c r="N138" s="112">
        <v>1.7609999999999999</v>
      </c>
      <c r="O138" s="112">
        <f t="shared" ref="O138:O146" si="114">N138*G138</f>
        <v>0.29232599999999997</v>
      </c>
      <c r="P138" s="113">
        <f t="shared" ref="P138:P146" si="115">(L138-N138*D138*$B$43-O138*$B$42)/(E138*$B$43*1000)*100</f>
        <v>4.4540937717416778E-4</v>
      </c>
      <c r="Q138" s="114">
        <f t="shared" ref="Q138:Q146" si="116">N138*D138*$B$43+O138*$B$42+P138/100*E138*$B$43*1000</f>
        <v>0.90241246507064388</v>
      </c>
      <c r="R138" s="109"/>
      <c r="S138" s="115">
        <f t="shared" ref="S138:S146" si="117">N138*D138*$B$43</f>
        <v>0.45870527999999999</v>
      </c>
      <c r="T138" s="116">
        <f t="shared" ref="T138:T146" si="118">O138*$B$42</f>
        <v>0.39043060559999998</v>
      </c>
      <c r="U138" s="116">
        <f t="shared" ref="U138:U146" si="119">P138/100*E138*$B$43*1000</f>
        <v>5.3276579470643896E-2</v>
      </c>
      <c r="V138" s="116">
        <f t="shared" ref="V138:V145" si="120">SUM(S138:U138)</f>
        <v>0.90241246507064388</v>
      </c>
      <c r="W138" s="116"/>
      <c r="X138" s="117">
        <f t="shared" ref="X138:X146" si="121">S138/V138</f>
        <v>0.50830999986695768</v>
      </c>
      <c r="Y138" s="117">
        <f t="shared" ref="Y138:Y146" si="122">T138/V138</f>
        <v>0.43265205292730058</v>
      </c>
      <c r="Z138" s="117">
        <f t="shared" ref="Z138" si="123">U138/V138</f>
        <v>5.9037947205741695E-2</v>
      </c>
    </row>
    <row r="139" spans="1:26" x14ac:dyDescent="0.3">
      <c r="A139" s="108" t="s">
        <v>51</v>
      </c>
      <c r="B139" s="119"/>
      <c r="C139" s="120">
        <v>0.88</v>
      </c>
      <c r="D139" s="109">
        <f>C139*$B$4</f>
        <v>0.3256</v>
      </c>
      <c r="E139" s="109">
        <f>(-2.85*C139+3.6)*((1-C139)*3.9*$B$8^(-1.2))</f>
        <v>14.951576628406734</v>
      </c>
      <c r="F139" s="110"/>
      <c r="G139" s="66">
        <v>0.22</v>
      </c>
      <c r="H139" s="111">
        <v>1.1694993910198723E-2</v>
      </c>
      <c r="I139" s="87">
        <f t="shared" si="109"/>
        <v>33</v>
      </c>
      <c r="J139" s="87">
        <f t="shared" si="110"/>
        <v>7.26</v>
      </c>
      <c r="K139" s="87">
        <f t="shared" si="111"/>
        <v>3.8593479903655789E-4</v>
      </c>
      <c r="L139" s="87">
        <f t="shared" si="112"/>
        <v>2.2908562977091079E-2</v>
      </c>
      <c r="M139" s="87">
        <f t="shared" si="113"/>
        <v>1.7152263385063701E-2</v>
      </c>
      <c r="N139" s="112">
        <v>3.3000000000000002E-2</v>
      </c>
      <c r="O139" s="112">
        <f t="shared" si="114"/>
        <v>7.26E-3</v>
      </c>
      <c r="P139" s="113">
        <f t="shared" si="115"/>
        <v>3.8593479903655777E-5</v>
      </c>
      <c r="Q139" s="114">
        <f t="shared" si="116"/>
        <v>2.2908562977091079E-2</v>
      </c>
      <c r="R139" s="109"/>
      <c r="S139" s="115">
        <f t="shared" si="117"/>
        <v>8.5958400000000004E-3</v>
      </c>
      <c r="T139" s="116">
        <f t="shared" si="118"/>
        <v>9.6964560000000009E-3</v>
      </c>
      <c r="U139" s="116">
        <f t="shared" si="119"/>
        <v>4.6162669770910781E-3</v>
      </c>
      <c r="V139" s="116">
        <f t="shared" si="120"/>
        <v>2.2908562977091079E-2</v>
      </c>
      <c r="W139" s="116"/>
      <c r="X139" s="117">
        <f t="shared" si="121"/>
        <v>0.37522388499863457</v>
      </c>
      <c r="Y139" s="117">
        <f t="shared" si="122"/>
        <v>0.42326775405758138</v>
      </c>
      <c r="Z139" s="117">
        <f>U139/V139</f>
        <v>0.2015083609437841</v>
      </c>
    </row>
    <row r="140" spans="1:26" x14ac:dyDescent="0.3">
      <c r="A140" s="121" t="s">
        <v>52</v>
      </c>
      <c r="B140" s="109"/>
      <c r="C140" s="120">
        <v>0.88</v>
      </c>
      <c r="D140" s="109">
        <f>C140*$B$4</f>
        <v>0.3256</v>
      </c>
      <c r="E140" s="109">
        <f>(-2.85*C140+3.6)*((1-C140)*3.9*$B$8^(-1.2))</f>
        <v>14.951576628406734</v>
      </c>
      <c r="F140" s="110"/>
      <c r="G140" s="66">
        <v>0.11799999999999999</v>
      </c>
      <c r="H140" s="111">
        <v>2.2803420720004172E-4</v>
      </c>
      <c r="I140" s="87">
        <f t="shared" si="109"/>
        <v>9948</v>
      </c>
      <c r="J140" s="87">
        <f t="shared" si="110"/>
        <v>1173.864</v>
      </c>
      <c r="K140" s="87">
        <f t="shared" si="111"/>
        <v>2.2684842932260149E-3</v>
      </c>
      <c r="L140" s="87">
        <f t="shared" si="112"/>
        <v>4.186201731792405</v>
      </c>
      <c r="M140" s="87">
        <f t="shared" si="113"/>
        <v>3.1343229498295933</v>
      </c>
      <c r="N140" s="112">
        <v>9.9480000000000004</v>
      </c>
      <c r="O140" s="112">
        <f t="shared" si="114"/>
        <v>1.173864</v>
      </c>
      <c r="P140" s="113">
        <f t="shared" si="115"/>
        <v>2.2684842932260224E-4</v>
      </c>
      <c r="Q140" s="114">
        <f t="shared" si="116"/>
        <v>4.186201731792405</v>
      </c>
      <c r="R140" s="109"/>
      <c r="S140" s="115">
        <f t="shared" si="117"/>
        <v>2.5912550400000001</v>
      </c>
      <c r="T140" s="116">
        <f t="shared" si="118"/>
        <v>1.5678127584000001</v>
      </c>
      <c r="U140" s="116">
        <f t="shared" si="119"/>
        <v>2.7133933392404771E-2</v>
      </c>
      <c r="V140" s="116">
        <f t="shared" si="120"/>
        <v>4.186201731792405</v>
      </c>
      <c r="W140" s="116"/>
      <c r="X140" s="117">
        <f t="shared" si="121"/>
        <v>0.61899908461661812</v>
      </c>
      <c r="Y140" s="117">
        <f t="shared" si="122"/>
        <v>0.37451916052997047</v>
      </c>
      <c r="Z140" s="117">
        <f t="shared" ref="Z140" si="124">U140/V140</f>
        <v>6.4817548534114337E-3</v>
      </c>
    </row>
    <row r="141" spans="1:26" x14ac:dyDescent="0.3">
      <c r="A141" s="122" t="s">
        <v>53</v>
      </c>
      <c r="B141" s="109"/>
      <c r="C141" s="120">
        <v>0.88</v>
      </c>
      <c r="D141" s="109">
        <f>C141*$B$4</f>
        <v>0.3256</v>
      </c>
      <c r="E141" s="109">
        <f>(-2.85*C141+3.6)*((1-C141)*3.9*$B$8^(-1.2))</f>
        <v>14.951576628406734</v>
      </c>
      <c r="F141" s="123"/>
      <c r="G141" s="66">
        <v>0.13300000000000001</v>
      </c>
      <c r="H141" s="111">
        <v>7.7624711662869063E-4</v>
      </c>
      <c r="I141" s="87">
        <f t="shared" si="109"/>
        <v>9495</v>
      </c>
      <c r="J141" s="87">
        <f t="shared" si="110"/>
        <v>1262.835</v>
      </c>
      <c r="K141" s="87">
        <f t="shared" si="111"/>
        <v>7.3704663723894179E-3</v>
      </c>
      <c r="L141" s="87">
        <f t="shared" si="112"/>
        <v>4.2480601002031007</v>
      </c>
      <c r="M141" s="87">
        <f t="shared" si="113"/>
        <v>3.1806379905683588</v>
      </c>
      <c r="N141" s="112">
        <v>9.4949999999999992</v>
      </c>
      <c r="O141" s="112">
        <f t="shared" si="114"/>
        <v>1.2628349999999999</v>
      </c>
      <c r="P141" s="113">
        <f t="shared" si="115"/>
        <v>7.3704663723894205E-4</v>
      </c>
      <c r="Q141" s="114">
        <f t="shared" si="116"/>
        <v>4.2480601002031007</v>
      </c>
      <c r="R141" s="109"/>
      <c r="S141" s="115">
        <f t="shared" si="117"/>
        <v>2.4732576000000002</v>
      </c>
      <c r="T141" s="116">
        <f t="shared" si="118"/>
        <v>1.6866424260000001</v>
      </c>
      <c r="U141" s="116">
        <f t="shared" si="119"/>
        <v>8.8160074203100333E-2</v>
      </c>
      <c r="V141" s="116">
        <f t="shared" si="120"/>
        <v>4.2480601002031007</v>
      </c>
      <c r="W141" s="116"/>
      <c r="X141" s="117">
        <f t="shared" si="121"/>
        <v>0.58220871213233383</v>
      </c>
      <c r="Y141" s="117">
        <f t="shared" si="122"/>
        <v>0.3970382683426163</v>
      </c>
      <c r="Z141" s="117">
        <f>U141/V141</f>
        <v>2.075301952504989E-2</v>
      </c>
    </row>
    <row r="142" spans="1:26" x14ac:dyDescent="0.3">
      <c r="A142" s="122" t="s">
        <v>54</v>
      </c>
      <c r="B142" s="109"/>
      <c r="C142" s="120">
        <v>0.88</v>
      </c>
      <c r="D142" s="109">
        <f t="shared" ref="D142:D146" si="125">C142*$B$4</f>
        <v>0.3256</v>
      </c>
      <c r="E142" s="109">
        <f t="shared" ref="E142:E146" si="126">(-2.85*C142+3.6)*((1-C142)*3.9*$B$8^(-1.2))</f>
        <v>14.951576628406734</v>
      </c>
      <c r="F142" s="123"/>
      <c r="G142" s="66">
        <v>0.122</v>
      </c>
      <c r="H142" s="111">
        <v>6.9984199600227391E-5</v>
      </c>
      <c r="I142" s="87">
        <f t="shared" si="109"/>
        <v>4779</v>
      </c>
      <c r="J142" s="87">
        <f t="shared" si="110"/>
        <v>583.03800000000001</v>
      </c>
      <c r="K142" s="87">
        <f t="shared" si="111"/>
        <v>3.344544898894867E-4</v>
      </c>
      <c r="L142" s="87">
        <f t="shared" si="112"/>
        <v>2.0275399703474379</v>
      </c>
      <c r="M142" s="87">
        <f t="shared" si="113"/>
        <v>1.5180742515329722</v>
      </c>
      <c r="N142" s="112">
        <v>4.7789999999999999</v>
      </c>
      <c r="O142" s="112">
        <f t="shared" si="114"/>
        <v>0.58303799999999995</v>
      </c>
      <c r="P142" s="113">
        <f t="shared" si="115"/>
        <v>3.344544898894903E-5</v>
      </c>
      <c r="Q142" s="114">
        <f t="shared" si="116"/>
        <v>2.0275399703474379</v>
      </c>
      <c r="R142" s="109"/>
      <c r="S142" s="115">
        <f t="shared" si="117"/>
        <v>1.24483392</v>
      </c>
      <c r="T142" s="116">
        <f t="shared" si="118"/>
        <v>0.77870555279999998</v>
      </c>
      <c r="U142" s="116">
        <f t="shared" si="119"/>
        <v>4.0004975474379201E-3</v>
      </c>
      <c r="V142" s="116">
        <f t="shared" si="120"/>
        <v>2.0275399703474379</v>
      </c>
      <c r="W142" s="116"/>
      <c r="X142" s="117">
        <f t="shared" si="121"/>
        <v>0.61396270268678654</v>
      </c>
      <c r="Y142" s="117">
        <f t="shared" si="122"/>
        <v>0.38406421781493238</v>
      </c>
      <c r="Z142" s="117">
        <f t="shared" ref="Z142:Z146" si="127">U142/V142</f>
        <v>1.9730794982810609E-3</v>
      </c>
    </row>
    <row r="143" spans="1:26" x14ac:dyDescent="0.3">
      <c r="A143" s="122" t="s">
        <v>55</v>
      </c>
      <c r="B143" s="109"/>
      <c r="C143" s="120">
        <v>0.88</v>
      </c>
      <c r="D143" s="109">
        <f t="shared" si="125"/>
        <v>0.3256</v>
      </c>
      <c r="E143" s="109">
        <f t="shared" si="126"/>
        <v>14.951576628406734</v>
      </c>
      <c r="F143" s="122"/>
      <c r="G143" s="66">
        <v>0.19400000000000001</v>
      </c>
      <c r="H143" s="111">
        <v>1.0543868963912584E-3</v>
      </c>
      <c r="I143" s="87">
        <f t="shared" si="109"/>
        <v>3636</v>
      </c>
      <c r="J143" s="87">
        <f t="shared" si="110"/>
        <v>705.38400000000001</v>
      </c>
      <c r="K143" s="87">
        <f t="shared" si="111"/>
        <v>3.8337507552786156E-3</v>
      </c>
      <c r="L143" s="87">
        <f t="shared" si="112"/>
        <v>1.9350726449534084</v>
      </c>
      <c r="M143" s="87">
        <f t="shared" si="113"/>
        <v>1.4488414532445404</v>
      </c>
      <c r="N143" s="112">
        <v>3.6360000000000001</v>
      </c>
      <c r="O143" s="112">
        <f t="shared" si="114"/>
        <v>0.70538400000000001</v>
      </c>
      <c r="P143" s="113">
        <f t="shared" si="115"/>
        <v>3.8337507552785983E-4</v>
      </c>
      <c r="Q143" s="114">
        <f t="shared" si="116"/>
        <v>1.9350726449534084</v>
      </c>
      <c r="R143" s="109"/>
      <c r="S143" s="115">
        <f t="shared" si="117"/>
        <v>0.94710528000000016</v>
      </c>
      <c r="T143" s="116">
        <f t="shared" si="118"/>
        <v>0.94211087040000008</v>
      </c>
      <c r="U143" s="116">
        <f t="shared" si="119"/>
        <v>4.5856494553408123E-2</v>
      </c>
      <c r="V143" s="116">
        <f t="shared" si="120"/>
        <v>1.9350726449534084</v>
      </c>
      <c r="W143" s="116"/>
      <c r="X143" s="117">
        <f t="shared" si="121"/>
        <v>0.48944171810294185</v>
      </c>
      <c r="Y143" s="117">
        <f t="shared" si="122"/>
        <v>0.48686072476761394</v>
      </c>
      <c r="Z143" s="117">
        <f t="shared" si="127"/>
        <v>2.3697557129444217E-2</v>
      </c>
    </row>
    <row r="144" spans="1:26" x14ac:dyDescent="0.3">
      <c r="A144" s="124" t="s">
        <v>56</v>
      </c>
      <c r="B144" s="109"/>
      <c r="C144" s="120">
        <v>0.88</v>
      </c>
      <c r="D144" s="109">
        <f t="shared" si="125"/>
        <v>0.3256</v>
      </c>
      <c r="E144" s="109">
        <f t="shared" si="126"/>
        <v>14.951576628406734</v>
      </c>
      <c r="F144" s="122"/>
      <c r="G144" s="66">
        <v>0.36799999999999999</v>
      </c>
      <c r="H144" s="111">
        <v>4.4668359215096279E-3</v>
      </c>
      <c r="I144" s="87">
        <f t="shared" si="109"/>
        <v>905</v>
      </c>
      <c r="J144" s="87">
        <f t="shared" si="110"/>
        <v>333.04</v>
      </c>
      <c r="K144" s="87">
        <f t="shared" si="111"/>
        <v>4.0424865089662134E-3</v>
      </c>
      <c r="L144" s="87">
        <f t="shared" si="112"/>
        <v>0.7288958614464871</v>
      </c>
      <c r="M144" s="87">
        <f t="shared" si="113"/>
        <v>0.54574413106205977</v>
      </c>
      <c r="N144" s="112">
        <v>0.90500000000000003</v>
      </c>
      <c r="O144" s="112">
        <f t="shared" si="114"/>
        <v>0.33304</v>
      </c>
      <c r="P144" s="113">
        <f t="shared" si="115"/>
        <v>4.0424865089662171E-4</v>
      </c>
      <c r="Q144" s="114">
        <f t="shared" si="116"/>
        <v>0.7288958614464871</v>
      </c>
      <c r="R144" s="109"/>
      <c r="S144" s="115">
        <f t="shared" si="117"/>
        <v>0.23573440000000001</v>
      </c>
      <c r="T144" s="116">
        <f t="shared" si="118"/>
        <v>0.44480822400000003</v>
      </c>
      <c r="U144" s="116">
        <f t="shared" si="119"/>
        <v>4.8353237446487056E-2</v>
      </c>
      <c r="V144" s="116">
        <f t="shared" si="120"/>
        <v>0.7288958614464871</v>
      </c>
      <c r="W144" s="116"/>
      <c r="X144" s="117">
        <f t="shared" si="121"/>
        <v>0.32341300378930299</v>
      </c>
      <c r="Y144" s="117">
        <f t="shared" si="122"/>
        <v>0.61024934771516226</v>
      </c>
      <c r="Z144" s="117">
        <f t="shared" si="127"/>
        <v>6.6337648495534737E-2</v>
      </c>
    </row>
    <row r="145" spans="1:26" x14ac:dyDescent="0.3">
      <c r="A145" s="124" t="s">
        <v>58</v>
      </c>
      <c r="B145" s="109"/>
      <c r="C145" s="120">
        <v>0.88</v>
      </c>
      <c r="D145" s="109">
        <f t="shared" si="125"/>
        <v>0.3256</v>
      </c>
      <c r="E145" s="109">
        <f t="shared" si="126"/>
        <v>14.951576628406734</v>
      </c>
      <c r="F145" s="109"/>
      <c r="G145" s="66">
        <v>0.22</v>
      </c>
      <c r="H145" s="111">
        <v>1.5205475297324944E-2</v>
      </c>
      <c r="I145" s="87">
        <f t="shared" si="109"/>
        <v>22</v>
      </c>
      <c r="J145" s="87">
        <f t="shared" si="110"/>
        <v>4.84</v>
      </c>
      <c r="K145" s="87">
        <f t="shared" si="111"/>
        <v>3.3452045654114873E-4</v>
      </c>
      <c r="L145" s="87">
        <f t="shared" si="112"/>
        <v>1.6196150591795671E-2</v>
      </c>
      <c r="M145" s="87">
        <f t="shared" si="113"/>
        <v>1.2126497897421136E-2</v>
      </c>
      <c r="N145" s="112">
        <v>2.1999999999999999E-2</v>
      </c>
      <c r="O145" s="112">
        <f t="shared" si="114"/>
        <v>4.8399999999999997E-3</v>
      </c>
      <c r="P145" s="113">
        <f t="shared" si="115"/>
        <v>3.3452045654114865E-5</v>
      </c>
      <c r="Q145" s="114">
        <f t="shared" si="116"/>
        <v>1.6196150591795671E-2</v>
      </c>
      <c r="R145" s="109"/>
      <c r="S145" s="115">
        <f t="shared" si="117"/>
        <v>5.73056E-3</v>
      </c>
      <c r="T145" s="116">
        <f t="shared" si="118"/>
        <v>6.4643040000000006E-3</v>
      </c>
      <c r="U145" s="116">
        <f t="shared" si="119"/>
        <v>4.0012865917956721E-3</v>
      </c>
      <c r="V145" s="116">
        <f t="shared" si="120"/>
        <v>1.6196150591795671E-2</v>
      </c>
      <c r="W145" s="116"/>
      <c r="X145" s="117">
        <f t="shared" si="121"/>
        <v>0.35382234608900681</v>
      </c>
      <c r="Y145" s="117">
        <f t="shared" si="122"/>
        <v>0.39912595053756544</v>
      </c>
      <c r="Z145" s="117">
        <f t="shared" si="127"/>
        <v>0.24705170337342786</v>
      </c>
    </row>
    <row r="146" spans="1:26" x14ac:dyDescent="0.3">
      <c r="A146" s="124" t="s">
        <v>57</v>
      </c>
      <c r="B146" s="109"/>
      <c r="C146" s="120">
        <v>0.88</v>
      </c>
      <c r="D146" s="109">
        <f t="shared" si="125"/>
        <v>0.3256</v>
      </c>
      <c r="E146" s="109">
        <f t="shared" si="126"/>
        <v>14.951576628406734</v>
      </c>
      <c r="F146" s="109"/>
      <c r="G146" s="66">
        <v>0.24199999999999999</v>
      </c>
      <c r="H146" s="111">
        <v>4.4668359215096279E-3</v>
      </c>
      <c r="I146" s="87">
        <f t="shared" si="109"/>
        <v>34</v>
      </c>
      <c r="J146" s="87">
        <f t="shared" si="110"/>
        <v>8.2279999999999998</v>
      </c>
      <c r="K146" s="87">
        <f t="shared" si="111"/>
        <v>1.5187242133132733E-4</v>
      </c>
      <c r="L146" s="87">
        <f t="shared" si="112"/>
        <v>2.1662222516221612E-2</v>
      </c>
      <c r="M146" s="87">
        <f t="shared" si="113"/>
        <v>1.6219094426640917E-2</v>
      </c>
      <c r="N146" s="112">
        <v>3.4000000000000002E-2</v>
      </c>
      <c r="O146" s="112">
        <f t="shared" si="114"/>
        <v>8.2280000000000009E-3</v>
      </c>
      <c r="P146" s="113">
        <f t="shared" si="115"/>
        <v>1.5187242133132713E-5</v>
      </c>
      <c r="Q146" s="114">
        <f t="shared" si="116"/>
        <v>2.1662222516221612E-2</v>
      </c>
      <c r="R146" s="109"/>
      <c r="S146" s="115">
        <f t="shared" si="117"/>
        <v>8.8563200000000009E-3</v>
      </c>
      <c r="T146" s="116">
        <f t="shared" si="118"/>
        <v>1.0989316800000003E-2</v>
      </c>
      <c r="U146" s="116">
        <f t="shared" si="119"/>
        <v>1.8165857162216088E-3</v>
      </c>
      <c r="V146" s="116">
        <f t="shared" ref="V146" si="128">SUM(S146:U146)</f>
        <v>2.1662222516221612E-2</v>
      </c>
      <c r="W146" s="116"/>
      <c r="X146" s="117">
        <f t="shared" si="121"/>
        <v>0.40883708923994311</v>
      </c>
      <c r="Y146" s="117">
        <f t="shared" si="122"/>
        <v>0.50730329225317139</v>
      </c>
      <c r="Z146" s="117">
        <f t="shared" si="127"/>
        <v>8.3859618506885461E-2</v>
      </c>
    </row>
    <row r="149" spans="1:26" ht="18" x14ac:dyDescent="0.35">
      <c r="A149" s="70" t="s">
        <v>92</v>
      </c>
    </row>
    <row r="150" spans="1:26" ht="21" x14ac:dyDescent="0.4">
      <c r="A150" s="71" t="s">
        <v>146</v>
      </c>
    </row>
    <row r="151" spans="1:26" x14ac:dyDescent="0.3">
      <c r="A151" s="30" t="s">
        <v>103</v>
      </c>
      <c r="B151" s="77" t="s">
        <v>104</v>
      </c>
    </row>
    <row r="152" spans="1:26" x14ac:dyDescent="0.3">
      <c r="A152" t="s">
        <v>105</v>
      </c>
      <c r="B152">
        <v>0.37</v>
      </c>
    </row>
    <row r="153" spans="1:26" x14ac:dyDescent="0.3">
      <c r="A153" t="s">
        <v>106</v>
      </c>
      <c r="B153">
        <f>2.65*(1-B152)</f>
        <v>1.6695</v>
      </c>
    </row>
    <row r="154" spans="1:26" x14ac:dyDescent="0.3">
      <c r="A154" t="s">
        <v>107</v>
      </c>
      <c r="B154">
        <v>0.88</v>
      </c>
    </row>
    <row r="155" spans="1:26" x14ac:dyDescent="0.3">
      <c r="A155" t="s">
        <v>108</v>
      </c>
      <c r="B155">
        <f>B152*B154</f>
        <v>0.3256</v>
      </c>
    </row>
    <row r="156" spans="1:26" x14ac:dyDescent="0.3">
      <c r="A156" t="s">
        <v>109</v>
      </c>
      <c r="B156">
        <v>0.06</v>
      </c>
    </row>
    <row r="157" spans="1:26" x14ac:dyDescent="0.3">
      <c r="A157" s="87"/>
      <c r="B157" s="87"/>
    </row>
    <row r="158" spans="1:26" x14ac:dyDescent="0.3">
      <c r="A158" s="87"/>
      <c r="B158" s="87"/>
    </row>
    <row r="159" spans="1:26" ht="16.2" x14ac:dyDescent="0.3">
      <c r="A159" t="s">
        <v>110</v>
      </c>
      <c r="B159">
        <f>(-2.85*B154+3.6)*((1-B154)*3.9*B156^(-1.2))</f>
        <v>14.951576628406734</v>
      </c>
    </row>
    <row r="160" spans="1:26" x14ac:dyDescent="0.3">
      <c r="A160" s="87"/>
      <c r="B160" s="87"/>
    </row>
    <row r="161" spans="1:26" x14ac:dyDescent="0.3">
      <c r="A161" t="s">
        <v>111</v>
      </c>
      <c r="B161">
        <f>B153*B162</f>
        <v>1.0684800000000001</v>
      </c>
    </row>
    <row r="162" spans="1:26" x14ac:dyDescent="0.3">
      <c r="A162" t="s">
        <v>149</v>
      </c>
      <c r="B162">
        <v>0.64</v>
      </c>
    </row>
    <row r="164" spans="1:26" x14ac:dyDescent="0.3">
      <c r="C164" s="96"/>
      <c r="D164" s="96"/>
      <c r="E164" s="97"/>
      <c r="F164" s="189"/>
      <c r="G164" s="189"/>
      <c r="N164" s="190" t="s">
        <v>114</v>
      </c>
      <c r="O164" s="190"/>
      <c r="P164" s="190"/>
      <c r="Q164" s="100"/>
      <c r="S164" s="191" t="s">
        <v>115</v>
      </c>
      <c r="T164" s="191"/>
      <c r="U164" s="191"/>
      <c r="V164" s="191"/>
      <c r="X164" t="s">
        <v>116</v>
      </c>
    </row>
    <row r="165" spans="1:26" ht="43.2" x14ac:dyDescent="0.3">
      <c r="C165" s="101" t="s">
        <v>117</v>
      </c>
      <c r="D165" s="102" t="s">
        <v>118</v>
      </c>
      <c r="E165" s="102" t="s">
        <v>119</v>
      </c>
      <c r="F165" s="101"/>
      <c r="G165" s="103" t="s">
        <v>157</v>
      </c>
      <c r="H165" s="102" t="s">
        <v>121</v>
      </c>
      <c r="I165" s="104" t="s">
        <v>122</v>
      </c>
      <c r="J165" s="104" t="s">
        <v>123</v>
      </c>
      <c r="K165" s="105" t="s">
        <v>124</v>
      </c>
      <c r="L165" s="104" t="s">
        <v>125</v>
      </c>
      <c r="M165" s="106" t="s">
        <v>126</v>
      </c>
      <c r="N165" s="107" t="s">
        <v>127</v>
      </c>
      <c r="O165" s="98" t="s">
        <v>128</v>
      </c>
      <c r="P165" s="98" t="s">
        <v>129</v>
      </c>
      <c r="Q165" s="102" t="s">
        <v>130</v>
      </c>
      <c r="S165" s="102" t="s">
        <v>131</v>
      </c>
      <c r="T165" s="98" t="s">
        <v>132</v>
      </c>
      <c r="U165" s="98" t="s">
        <v>133</v>
      </c>
      <c r="V165" s="102" t="s">
        <v>134</v>
      </c>
      <c r="X165" s="102" t="s">
        <v>131</v>
      </c>
      <c r="Y165" s="98" t="s">
        <v>132</v>
      </c>
      <c r="Z165" s="98" t="s">
        <v>133</v>
      </c>
    </row>
    <row r="166" spans="1:26" x14ac:dyDescent="0.3">
      <c r="A166" s="19" t="s">
        <v>135</v>
      </c>
      <c r="B166" s="98"/>
      <c r="C166" s="101" t="s">
        <v>136</v>
      </c>
      <c r="D166" t="s">
        <v>136</v>
      </c>
      <c r="E166" t="s">
        <v>137</v>
      </c>
      <c r="F166" s="101"/>
      <c r="G166" s="103" t="s">
        <v>88</v>
      </c>
      <c r="H166" s="102" t="s">
        <v>12</v>
      </c>
      <c r="I166" s="87"/>
      <c r="J166" s="87"/>
      <c r="K166" s="87"/>
      <c r="L166" s="87"/>
      <c r="M166" s="87" t="s">
        <v>138</v>
      </c>
      <c r="N166" s="102" t="s">
        <v>139</v>
      </c>
      <c r="O166" s="99" t="s">
        <v>140</v>
      </c>
      <c r="P166" s="99" t="s">
        <v>141</v>
      </c>
      <c r="Q166" s="99" t="s">
        <v>142</v>
      </c>
      <c r="S166" s="99" t="s">
        <v>143</v>
      </c>
      <c r="T166" s="99" t="s">
        <v>143</v>
      </c>
      <c r="U166" s="99" t="s">
        <v>142</v>
      </c>
      <c r="V166" s="102" t="s">
        <v>142</v>
      </c>
      <c r="X166" s="102"/>
      <c r="Y166" s="98"/>
      <c r="Z166" s="98"/>
    </row>
    <row r="167" spans="1:26" x14ac:dyDescent="0.3">
      <c r="A167" s="108" t="s">
        <v>49</v>
      </c>
      <c r="B167" s="109"/>
      <c r="C167" s="109">
        <v>0.88</v>
      </c>
      <c r="D167" s="109">
        <f>C167*$B$4</f>
        <v>0.3256</v>
      </c>
      <c r="E167" s="109">
        <f>(-2.85*C167+3.6)*((1-C167)*3.9*$B$8^(-1.2))</f>
        <v>14.951576628406734</v>
      </c>
      <c r="F167" s="110"/>
      <c r="G167" s="66">
        <v>8.0000000000000002E-3</v>
      </c>
      <c r="H167" s="111">
        <v>9.506047936562795E-5</v>
      </c>
      <c r="I167" s="87">
        <f>N167*1000</f>
        <v>314</v>
      </c>
      <c r="J167" s="87">
        <f>G167*I167</f>
        <v>2.512</v>
      </c>
      <c r="K167" s="87">
        <f>(I167*H167)/1000</f>
        <v>2.9848990520807177E-5</v>
      </c>
      <c r="L167" s="87">
        <f>(I167*$B$73*$B$66+$B$64*$B$73*J167+$B$73*$B$70*K167*1000)/1000</f>
        <v>6.8402223020193539E-2</v>
      </c>
      <c r="M167" s="87">
        <f>L167/$B$72</f>
        <v>6.4018253051244325E-2</v>
      </c>
      <c r="N167" s="112">
        <v>0.314</v>
      </c>
      <c r="O167" s="112">
        <f>N167*G167</f>
        <v>2.5119999999999999E-3</v>
      </c>
      <c r="P167" s="113">
        <f>(L167-N167*D167*$B$73-O167*$B$72)/(E167*$B$73*1000)*100</f>
        <v>2.9848990520804562E-6</v>
      </c>
      <c r="Q167" s="114">
        <f>N167*D167*$B$73+O167*$B$72+P167/100*E167*$B$73*1000</f>
        <v>6.8402223020193539E-2</v>
      </c>
      <c r="R167" s="109"/>
      <c r="S167" s="115">
        <f>N167*D167*$B$73</f>
        <v>6.5432576000000006E-2</v>
      </c>
      <c r="T167" s="116">
        <f>O167*$B$72</f>
        <v>2.68402176E-3</v>
      </c>
      <c r="U167" s="116">
        <f>P167/100*E167*$B$73*1000</f>
        <v>2.8562526019353324E-4</v>
      </c>
      <c r="V167" s="116">
        <f>SUM(S167:U167)</f>
        <v>6.8402223020193539E-2</v>
      </c>
      <c r="W167" s="116"/>
      <c r="X167" s="117">
        <f>S167/V167</f>
        <v>0.95658551887536114</v>
      </c>
      <c r="Y167" s="117">
        <f>T167/V167</f>
        <v>3.9238808937651477E-2</v>
      </c>
      <c r="Z167" s="117">
        <f>U167/V167</f>
        <v>4.1756721869874265E-3</v>
      </c>
    </row>
    <row r="168" spans="1:26" x14ac:dyDescent="0.3">
      <c r="A168" s="108" t="s">
        <v>50</v>
      </c>
      <c r="B168" s="119"/>
      <c r="C168" s="120">
        <v>0.88</v>
      </c>
      <c r="D168" s="109">
        <f>C168*$B$4</f>
        <v>0.3256</v>
      </c>
      <c r="E168" s="109">
        <f>(-2.85*C168+3.6)*((1-C168)*3.9*$B$8^(-1.2))</f>
        <v>14.951576628406734</v>
      </c>
      <c r="F168" s="110"/>
      <c r="G168" s="66">
        <v>0.16600000000000001</v>
      </c>
      <c r="H168" s="111">
        <v>2.5292979964461428E-3</v>
      </c>
      <c r="I168" s="87">
        <f t="shared" ref="I168:I176" si="129">N168*1000</f>
        <v>2567</v>
      </c>
      <c r="J168" s="87">
        <f t="shared" ref="J168:J176" si="130">G168*I168</f>
        <v>426.12200000000001</v>
      </c>
      <c r="K168" s="87">
        <f t="shared" ref="K168:K176" si="131">(I168*H168)/1000</f>
        <v>6.4927079568772488E-3</v>
      </c>
      <c r="L168" s="87">
        <f t="shared" ref="L168:L176" si="132">(I168*$B$73*$B$66+$B$64*$B$73*J168+$B$73*$B$70*K168*1000)/1000</f>
        <v>1.0523533437075947</v>
      </c>
      <c r="M168" s="87">
        <f t="shared" ref="M168:M176" si="133">L168/$B$72</f>
        <v>0.98490691796532892</v>
      </c>
      <c r="N168" s="112">
        <v>2.5670000000000002</v>
      </c>
      <c r="O168" s="112">
        <f t="shared" ref="O168:O176" si="134">N168*G168</f>
        <v>0.42612200000000006</v>
      </c>
      <c r="P168" s="113">
        <f t="shared" ref="P168:P176" si="135">(L168-N168*D168*$B$73-O168*$B$72)/(E168*$B$73*1000)*100</f>
        <v>6.4927079568772618E-4</v>
      </c>
      <c r="Q168" s="114">
        <f t="shared" ref="Q168:Q176" si="136">N168*D168*$B$73+O168*$B$72+P168/100*E168*$B$73*1000</f>
        <v>1.0523533437075947</v>
      </c>
      <c r="R168" s="109"/>
      <c r="S168" s="115">
        <f t="shared" ref="S168:S176" si="137">N168*D168*$B$73</f>
        <v>0.53492172800000004</v>
      </c>
      <c r="T168" s="116">
        <f t="shared" ref="T168:T176" si="138">O168*$B$72</f>
        <v>0.45530283456000009</v>
      </c>
      <c r="U168" s="116">
        <f t="shared" ref="U168:U176" si="139">P168/100*E168*$B$73*1000</f>
        <v>6.2128781147594563E-2</v>
      </c>
      <c r="V168" s="116">
        <f t="shared" ref="V168:V175" si="140">SUM(S168:U168)</f>
        <v>1.0523533437075947</v>
      </c>
      <c r="W168" s="116"/>
      <c r="X168" s="117">
        <f t="shared" ref="X168:X176" si="141">S168/V168</f>
        <v>0.5083099998669578</v>
      </c>
      <c r="Y168" s="117">
        <f t="shared" ref="Y168:Y176" si="142">T168/V168</f>
        <v>0.43265205292730069</v>
      </c>
      <c r="Z168" s="117">
        <f t="shared" ref="Z168" si="143">U168/V168</f>
        <v>5.9037947205741542E-2</v>
      </c>
    </row>
    <row r="169" spans="1:26" x14ac:dyDescent="0.3">
      <c r="A169" s="108" t="s">
        <v>51</v>
      </c>
      <c r="B169" s="119"/>
      <c r="C169" s="120">
        <v>0.88</v>
      </c>
      <c r="D169" s="109">
        <f>C169*$B$4</f>
        <v>0.3256</v>
      </c>
      <c r="E169" s="109">
        <f>(-2.85*C169+3.6)*((1-C169)*3.9*$B$8^(-1.2))</f>
        <v>14.951576628406734</v>
      </c>
      <c r="F169" s="110"/>
      <c r="G169" s="66">
        <v>0.22</v>
      </c>
      <c r="H169" s="111">
        <v>1.1694993910198723E-2</v>
      </c>
      <c r="I169" s="87">
        <f t="shared" si="129"/>
        <v>20</v>
      </c>
      <c r="J169" s="87">
        <f t="shared" si="130"/>
        <v>4.4000000000000004</v>
      </c>
      <c r="K169" s="87">
        <f t="shared" si="131"/>
        <v>2.3389987820397444E-4</v>
      </c>
      <c r="L169" s="87">
        <f t="shared" si="132"/>
        <v>1.1107182049498706E-2</v>
      </c>
      <c r="M169" s="87">
        <f t="shared" si="133"/>
        <v>1.0395311142462848E-2</v>
      </c>
      <c r="N169" s="112">
        <v>0.02</v>
      </c>
      <c r="O169" s="112">
        <f t="shared" si="134"/>
        <v>4.4000000000000003E-3</v>
      </c>
      <c r="P169" s="113">
        <f t="shared" si="135"/>
        <v>2.3389987820397443E-5</v>
      </c>
      <c r="Q169" s="114">
        <f t="shared" si="136"/>
        <v>1.1107182049498706E-2</v>
      </c>
      <c r="R169" s="109"/>
      <c r="S169" s="115">
        <f t="shared" si="137"/>
        <v>4.16768E-3</v>
      </c>
      <c r="T169" s="116">
        <f t="shared" si="138"/>
        <v>4.7013120000000009E-3</v>
      </c>
      <c r="U169" s="116">
        <f t="shared" si="139"/>
        <v>2.2381900494987043E-3</v>
      </c>
      <c r="V169" s="116">
        <f t="shared" si="140"/>
        <v>1.1107182049498706E-2</v>
      </c>
      <c r="W169" s="116"/>
      <c r="X169" s="117">
        <f t="shared" si="141"/>
        <v>0.37522388499863452</v>
      </c>
      <c r="Y169" s="117">
        <f t="shared" si="142"/>
        <v>0.42326775405758138</v>
      </c>
      <c r="Z169" s="117">
        <f>U169/V169</f>
        <v>0.20150836094378405</v>
      </c>
    </row>
    <row r="170" spans="1:26" x14ac:dyDescent="0.3">
      <c r="A170" s="121" t="s">
        <v>52</v>
      </c>
      <c r="B170" s="109"/>
      <c r="C170" s="120">
        <v>0.88</v>
      </c>
      <c r="D170" s="109">
        <f>C170*$B$4</f>
        <v>0.3256</v>
      </c>
      <c r="E170" s="109">
        <f>(-2.85*C170+3.6)*((1-C170)*3.9*$B$8^(-1.2))</f>
        <v>14.951576628406734</v>
      </c>
      <c r="F170" s="110"/>
      <c r="G170" s="66">
        <v>0.11799999999999999</v>
      </c>
      <c r="H170" s="111">
        <v>2.2803420720004172E-4</v>
      </c>
      <c r="I170" s="87">
        <f t="shared" si="129"/>
        <v>1486</v>
      </c>
      <c r="J170" s="87">
        <f t="shared" si="130"/>
        <v>175.34799999999998</v>
      </c>
      <c r="K170" s="87">
        <f t="shared" si="131"/>
        <v>3.3885883189926197E-4</v>
      </c>
      <c r="L170" s="87">
        <f t="shared" si="132"/>
        <v>0.50025699826646663</v>
      </c>
      <c r="M170" s="87">
        <f t="shared" si="133"/>
        <v>0.46819500436738787</v>
      </c>
      <c r="N170" s="112">
        <v>1.486</v>
      </c>
      <c r="O170" s="112">
        <f t="shared" si="134"/>
        <v>0.17534799999999998</v>
      </c>
      <c r="P170" s="113">
        <f t="shared" si="135"/>
        <v>3.388588318992559E-5</v>
      </c>
      <c r="Q170" s="114">
        <f t="shared" si="136"/>
        <v>0.50025699826646663</v>
      </c>
      <c r="R170" s="109"/>
      <c r="S170" s="115">
        <f t="shared" si="137"/>
        <v>0.30965862399999999</v>
      </c>
      <c r="T170" s="116">
        <f t="shared" si="138"/>
        <v>0.18735583104</v>
      </c>
      <c r="U170" s="116">
        <f t="shared" si="139"/>
        <v>3.2425432264666376E-3</v>
      </c>
      <c r="V170" s="116">
        <f t="shared" si="140"/>
        <v>0.50025699826646663</v>
      </c>
      <c r="W170" s="116"/>
      <c r="X170" s="117">
        <f t="shared" si="141"/>
        <v>0.61899908461661812</v>
      </c>
      <c r="Y170" s="117">
        <f t="shared" si="142"/>
        <v>0.37451916052997053</v>
      </c>
      <c r="Z170" s="117">
        <f t="shared" ref="Z170" si="144">U170/V170</f>
        <v>6.4817548534112984E-3</v>
      </c>
    </row>
    <row r="171" spans="1:26" x14ac:dyDescent="0.3">
      <c r="A171" s="122" t="s">
        <v>53</v>
      </c>
      <c r="B171" s="109"/>
      <c r="C171" s="120">
        <v>0.88</v>
      </c>
      <c r="D171" s="109">
        <f>C171*$B$4</f>
        <v>0.3256</v>
      </c>
      <c r="E171" s="109">
        <f>(-2.85*C171+3.6)*((1-C171)*3.9*$B$8^(-1.2))</f>
        <v>14.951576628406734</v>
      </c>
      <c r="F171" s="123"/>
      <c r="G171" s="66">
        <v>0.13300000000000001</v>
      </c>
      <c r="H171" s="111">
        <v>7.7624711662869063E-4</v>
      </c>
      <c r="I171" s="87">
        <f t="shared" si="129"/>
        <v>8514</v>
      </c>
      <c r="J171" s="87">
        <f>G171*I171</f>
        <v>1132.3620000000001</v>
      </c>
      <c r="K171" s="87">
        <f t="shared" si="131"/>
        <v>6.6089679509766727E-3</v>
      </c>
      <c r="L171" s="87">
        <f t="shared" si="132"/>
        <v>3.0473287998423757</v>
      </c>
      <c r="M171" s="87">
        <f t="shared" si="133"/>
        <v>2.8520223119219597</v>
      </c>
      <c r="N171" s="112">
        <v>8.5139999999999993</v>
      </c>
      <c r="O171" s="112">
        <f t="shared" si="134"/>
        <v>1.1323619999999999</v>
      </c>
      <c r="P171" s="113">
        <f t="shared" si="135"/>
        <v>6.608967950976686E-4</v>
      </c>
      <c r="Q171" s="114">
        <f t="shared" si="136"/>
        <v>3.0473287998423757</v>
      </c>
      <c r="R171" s="109"/>
      <c r="S171" s="115">
        <f t="shared" si="137"/>
        <v>1.774181376</v>
      </c>
      <c r="T171" s="116">
        <f t="shared" si="138"/>
        <v>1.2099061497599999</v>
      </c>
      <c r="U171" s="116">
        <f t="shared" si="139"/>
        <v>6.3241274082375787E-2</v>
      </c>
      <c r="V171" s="116">
        <f t="shared" si="140"/>
        <v>3.0473287998423757</v>
      </c>
      <c r="W171" s="116"/>
      <c r="X171" s="117">
        <f t="shared" si="141"/>
        <v>0.58220871213233383</v>
      </c>
      <c r="Y171" s="117">
        <f t="shared" si="142"/>
        <v>0.39703826834261624</v>
      </c>
      <c r="Z171" s="117">
        <f>U171/V171</f>
        <v>2.0753019525049928E-2</v>
      </c>
    </row>
    <row r="172" spans="1:26" x14ac:dyDescent="0.3">
      <c r="A172" s="122" t="s">
        <v>54</v>
      </c>
      <c r="B172" s="109"/>
      <c r="C172" s="120">
        <v>0.88</v>
      </c>
      <c r="D172" s="109">
        <f t="shared" ref="D172:D176" si="145">C172*$B$4</f>
        <v>0.3256</v>
      </c>
      <c r="E172" s="109">
        <f t="shared" ref="E172:E176" si="146">(-2.85*C172+3.6)*((1-C172)*3.9*$B$8^(-1.2))</f>
        <v>14.951576628406734</v>
      </c>
      <c r="F172" s="123"/>
      <c r="G172" s="66">
        <v>0.122</v>
      </c>
      <c r="H172" s="111">
        <v>6.9984199600227391E-5</v>
      </c>
      <c r="I172" s="87">
        <f t="shared" si="129"/>
        <v>201</v>
      </c>
      <c r="J172" s="87">
        <f t="shared" si="130"/>
        <v>24.521999999999998</v>
      </c>
      <c r="K172" s="87">
        <f t="shared" si="131"/>
        <v>1.4066824119645706E-5</v>
      </c>
      <c r="L172" s="87">
        <f t="shared" si="132"/>
        <v>6.8221056127195659E-2</v>
      </c>
      <c r="M172" s="87">
        <f t="shared" si="133"/>
        <v>6.3848697333778501E-2</v>
      </c>
      <c r="N172" s="112">
        <v>0.20100000000000001</v>
      </c>
      <c r="O172" s="112">
        <f t="shared" si="134"/>
        <v>2.4522000000000002E-2</v>
      </c>
      <c r="P172" s="113">
        <f t="shared" si="135"/>
        <v>1.4066824119645465E-6</v>
      </c>
      <c r="Q172" s="114">
        <f t="shared" si="136"/>
        <v>6.8221056127195659E-2</v>
      </c>
      <c r="R172" s="109"/>
      <c r="S172" s="115">
        <f t="shared" si="137"/>
        <v>4.1885184000000006E-2</v>
      </c>
      <c r="T172" s="116">
        <f t="shared" si="138"/>
        <v>2.6201266560000006E-2</v>
      </c>
      <c r="U172" s="116">
        <f t="shared" si="139"/>
        <v>1.3460556719564754E-4</v>
      </c>
      <c r="V172" s="116">
        <f t="shared" si="140"/>
        <v>6.8221056127195659E-2</v>
      </c>
      <c r="W172" s="116"/>
      <c r="X172" s="117">
        <f t="shared" si="141"/>
        <v>0.61396270268678654</v>
      </c>
      <c r="Y172" s="117">
        <f t="shared" si="142"/>
        <v>0.38406421781493244</v>
      </c>
      <c r="Z172" s="117">
        <f t="shared" ref="Z172:Z176" si="147">U172/V172</f>
        <v>1.9730794982810054E-3</v>
      </c>
    </row>
    <row r="173" spans="1:26" x14ac:dyDescent="0.3">
      <c r="A173" s="122" t="s">
        <v>55</v>
      </c>
      <c r="B173" s="109"/>
      <c r="C173" s="120">
        <v>0.88</v>
      </c>
      <c r="D173" s="109">
        <f t="shared" si="145"/>
        <v>0.3256</v>
      </c>
      <c r="E173" s="109">
        <f t="shared" si="146"/>
        <v>14.951576628406734</v>
      </c>
      <c r="F173" s="122"/>
      <c r="G173" s="66">
        <v>0.19400000000000001</v>
      </c>
      <c r="H173" s="111">
        <v>1.0543868963912584E-3</v>
      </c>
      <c r="I173" s="87">
        <f t="shared" si="129"/>
        <v>4569</v>
      </c>
      <c r="J173" s="87">
        <f t="shared" si="130"/>
        <v>886.38600000000008</v>
      </c>
      <c r="K173" s="87">
        <f t="shared" si="131"/>
        <v>4.8174937296116601E-3</v>
      </c>
      <c r="L173" s="87">
        <f t="shared" si="132"/>
        <v>1.9452908503393009</v>
      </c>
      <c r="M173" s="87">
        <f t="shared" si="133"/>
        <v>1.8206151264780817</v>
      </c>
      <c r="N173" s="112">
        <v>4.569</v>
      </c>
      <c r="O173" s="112">
        <f t="shared" si="134"/>
        <v>0.88638600000000001</v>
      </c>
      <c r="P173" s="113">
        <f t="shared" si="135"/>
        <v>4.8174937296116516E-4</v>
      </c>
      <c r="Q173" s="114">
        <f t="shared" si="136"/>
        <v>1.9452908503393012</v>
      </c>
      <c r="R173" s="109"/>
      <c r="S173" s="115">
        <f t="shared" si="137"/>
        <v>0.95210649599999997</v>
      </c>
      <c r="T173" s="116">
        <f t="shared" si="138"/>
        <v>0.94708571328000013</v>
      </c>
      <c r="U173" s="116">
        <f t="shared" si="139"/>
        <v>4.6098641059300838E-2</v>
      </c>
      <c r="V173" s="116">
        <f t="shared" si="140"/>
        <v>1.9452908503393012</v>
      </c>
      <c r="W173" s="116"/>
      <c r="X173" s="117">
        <f t="shared" si="141"/>
        <v>0.48944171810294168</v>
      </c>
      <c r="Y173" s="117">
        <f t="shared" si="142"/>
        <v>0.48686072476761394</v>
      </c>
      <c r="Z173" s="117">
        <f t="shared" si="147"/>
        <v>2.3697557129444283E-2</v>
      </c>
    </row>
    <row r="174" spans="1:26" x14ac:dyDescent="0.3">
      <c r="A174" s="124" t="s">
        <v>56</v>
      </c>
      <c r="B174" s="109"/>
      <c r="C174" s="120">
        <v>0.88</v>
      </c>
      <c r="D174" s="109">
        <f t="shared" si="145"/>
        <v>0.3256</v>
      </c>
      <c r="E174" s="109">
        <f t="shared" si="146"/>
        <v>14.951576628406734</v>
      </c>
      <c r="F174" s="122"/>
      <c r="G174" s="66">
        <v>0.36799999999999999</v>
      </c>
      <c r="H174" s="111">
        <v>4.4668359215096279E-3</v>
      </c>
      <c r="I174" s="87">
        <f t="shared" si="129"/>
        <v>1399</v>
      </c>
      <c r="J174" s="87">
        <f t="shared" si="130"/>
        <v>514.83199999999999</v>
      </c>
      <c r="K174" s="87">
        <f t="shared" si="131"/>
        <v>6.2491034541919694E-3</v>
      </c>
      <c r="L174" s="87">
        <f t="shared" si="132"/>
        <v>0.90141463881868322</v>
      </c>
      <c r="M174" s="87">
        <f t="shared" si="133"/>
        <v>0.8436420324373719</v>
      </c>
      <c r="N174" s="112">
        <v>1.399</v>
      </c>
      <c r="O174" s="112">
        <f t="shared" si="134"/>
        <v>0.51483199999999996</v>
      </c>
      <c r="P174" s="113">
        <f t="shared" si="135"/>
        <v>6.2491034541919694E-4</v>
      </c>
      <c r="Q174" s="114">
        <f t="shared" si="136"/>
        <v>0.90141463881868322</v>
      </c>
      <c r="R174" s="109"/>
      <c r="S174" s="115">
        <f t="shared" si="137"/>
        <v>0.29152921599999998</v>
      </c>
      <c r="T174" s="116">
        <f t="shared" si="138"/>
        <v>0.55008769536000002</v>
      </c>
      <c r="U174" s="116">
        <f t="shared" si="139"/>
        <v>5.979772745868317E-2</v>
      </c>
      <c r="V174" s="116">
        <f t="shared" si="140"/>
        <v>0.90141463881868322</v>
      </c>
      <c r="W174" s="116"/>
      <c r="X174" s="117">
        <f t="shared" si="141"/>
        <v>0.32341300378930299</v>
      </c>
      <c r="Y174" s="117">
        <f t="shared" si="142"/>
        <v>0.61024934771516226</v>
      </c>
      <c r="Z174" s="117">
        <f t="shared" si="147"/>
        <v>6.6337648495534696E-2</v>
      </c>
    </row>
    <row r="175" spans="1:26" x14ac:dyDescent="0.3">
      <c r="A175" s="124" t="s">
        <v>58</v>
      </c>
      <c r="B175" s="109"/>
      <c r="C175" s="120">
        <v>0.88</v>
      </c>
      <c r="D175" s="109">
        <f t="shared" si="145"/>
        <v>0.3256</v>
      </c>
      <c r="E175" s="109">
        <f t="shared" si="146"/>
        <v>14.951576628406734</v>
      </c>
      <c r="F175" s="109"/>
      <c r="G175" s="66">
        <v>0.22</v>
      </c>
      <c r="H175" s="111">
        <v>1.5205475297324944E-2</v>
      </c>
      <c r="I175" s="87">
        <f t="shared" si="129"/>
        <v>23</v>
      </c>
      <c r="J175" s="87">
        <f t="shared" si="130"/>
        <v>5.0599999999999996</v>
      </c>
      <c r="K175" s="87">
        <f t="shared" si="131"/>
        <v>3.4972593183847374E-4</v>
      </c>
      <c r="L175" s="87">
        <f t="shared" si="132"/>
        <v>1.3545871404047291E-2</v>
      </c>
      <c r="M175" s="87">
        <f t="shared" si="133"/>
        <v>1.2677702347303917E-2</v>
      </c>
      <c r="N175" s="112">
        <v>2.3E-2</v>
      </c>
      <c r="O175" s="112">
        <f t="shared" si="134"/>
        <v>5.0600000000000003E-3</v>
      </c>
      <c r="P175" s="113">
        <f t="shared" si="135"/>
        <v>3.4972593183847375E-5</v>
      </c>
      <c r="Q175" s="114">
        <f t="shared" si="136"/>
        <v>1.3545871404047291E-2</v>
      </c>
      <c r="R175" s="109"/>
      <c r="S175" s="115">
        <f t="shared" si="137"/>
        <v>4.7928320000000003E-3</v>
      </c>
      <c r="T175" s="116">
        <f t="shared" si="138"/>
        <v>5.4065088000000011E-3</v>
      </c>
      <c r="U175" s="116">
        <f t="shared" si="139"/>
        <v>3.34653060404729E-3</v>
      </c>
      <c r="V175" s="116">
        <f t="shared" si="140"/>
        <v>1.3545871404047291E-2</v>
      </c>
      <c r="W175" s="116"/>
      <c r="X175" s="117">
        <f t="shared" si="141"/>
        <v>0.35382234608900676</v>
      </c>
      <c r="Y175" s="117">
        <f t="shared" si="142"/>
        <v>0.39912595053756544</v>
      </c>
      <c r="Z175" s="117">
        <f t="shared" si="147"/>
        <v>0.24705170337342783</v>
      </c>
    </row>
    <row r="176" spans="1:26" x14ac:dyDescent="0.3">
      <c r="A176" s="124" t="s">
        <v>57</v>
      </c>
      <c r="B176" s="109"/>
      <c r="C176" s="120">
        <v>0.88</v>
      </c>
      <c r="D176" s="109">
        <f t="shared" si="145"/>
        <v>0.3256</v>
      </c>
      <c r="E176" s="109">
        <f t="shared" si="146"/>
        <v>14.951576628406734</v>
      </c>
      <c r="F176" s="109"/>
      <c r="G176" s="66">
        <v>0.24199999999999999</v>
      </c>
      <c r="H176" s="111">
        <v>4.4668359215096279E-3</v>
      </c>
      <c r="I176" s="87">
        <f t="shared" si="129"/>
        <v>31</v>
      </c>
      <c r="J176" s="87">
        <f t="shared" si="130"/>
        <v>7.5019999999999998</v>
      </c>
      <c r="K176" s="87">
        <f t="shared" si="131"/>
        <v>1.3847191356679847E-4</v>
      </c>
      <c r="L176" s="87">
        <f t="shared" si="132"/>
        <v>1.5800679953008705E-2</v>
      </c>
      <c r="M176" s="87">
        <f t="shared" si="133"/>
        <v>1.4787997859584366E-2</v>
      </c>
      <c r="N176" s="112">
        <v>3.1E-2</v>
      </c>
      <c r="O176" s="112">
        <f t="shared" si="134"/>
        <v>7.502E-3</v>
      </c>
      <c r="P176" s="113">
        <f t="shared" si="135"/>
        <v>1.384719135667985E-5</v>
      </c>
      <c r="Q176" s="114">
        <f t="shared" si="136"/>
        <v>1.5800679953008705E-2</v>
      </c>
      <c r="R176" s="109"/>
      <c r="S176" s="115">
        <f t="shared" si="137"/>
        <v>6.4599039999999998E-3</v>
      </c>
      <c r="T176" s="116">
        <f t="shared" si="138"/>
        <v>8.0157369600000004E-3</v>
      </c>
      <c r="U176" s="116">
        <f t="shared" si="139"/>
        <v>1.3250389930087054E-3</v>
      </c>
      <c r="V176" s="116">
        <f t="shared" ref="V176" si="148">SUM(S176:U176)</f>
        <v>1.5800679953008705E-2</v>
      </c>
      <c r="W176" s="116"/>
      <c r="X176" s="117">
        <f t="shared" si="141"/>
        <v>0.40883708923994311</v>
      </c>
      <c r="Y176" s="117">
        <f t="shared" si="142"/>
        <v>0.50730329225317128</v>
      </c>
      <c r="Z176" s="117">
        <f t="shared" si="147"/>
        <v>8.3859618506885614E-2</v>
      </c>
    </row>
    <row r="179" spans="1:2" ht="18" x14ac:dyDescent="0.35">
      <c r="A179" s="70"/>
    </row>
    <row r="180" spans="1:2" ht="21" x14ac:dyDescent="0.4">
      <c r="A180" s="71"/>
    </row>
    <row r="181" spans="1:2" x14ac:dyDescent="0.3">
      <c r="A181" s="30"/>
      <c r="B181" s="77"/>
    </row>
    <row r="187" spans="1:2" x14ac:dyDescent="0.3">
      <c r="A187" s="87"/>
      <c r="B187" s="87"/>
    </row>
    <row r="188" spans="1:2" x14ac:dyDescent="0.3">
      <c r="A188" s="87"/>
      <c r="B188" s="87"/>
    </row>
    <row r="190" spans="1:2" x14ac:dyDescent="0.3">
      <c r="A190" s="87"/>
      <c r="B190" s="87"/>
    </row>
  </sheetData>
  <mergeCells count="21">
    <mergeCell ref="AY15:BB15"/>
    <mergeCell ref="F15:G15"/>
    <mergeCell ref="N15:P15"/>
    <mergeCell ref="S15:V15"/>
    <mergeCell ref="AL15:AM15"/>
    <mergeCell ref="AT15:AV15"/>
    <mergeCell ref="F104:G104"/>
    <mergeCell ref="N104:P104"/>
    <mergeCell ref="S104:V104"/>
    <mergeCell ref="F45:G45"/>
    <mergeCell ref="N45:P45"/>
    <mergeCell ref="S45:V45"/>
    <mergeCell ref="F75:G75"/>
    <mergeCell ref="N75:P75"/>
    <mergeCell ref="S75:V75"/>
    <mergeCell ref="F134:G134"/>
    <mergeCell ref="N134:P134"/>
    <mergeCell ref="S134:V134"/>
    <mergeCell ref="F164:G164"/>
    <mergeCell ref="N164:P164"/>
    <mergeCell ref="S164:V16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AE7A7-53DC-44E4-8EFC-4768B018B0DB}">
  <dimension ref="A1:AA184"/>
  <sheetViews>
    <sheetView topLeftCell="A181" workbookViewId="0">
      <selection activeCell="G171" sqref="G171"/>
    </sheetView>
  </sheetViews>
  <sheetFormatPr defaultRowHeight="14.4" x14ac:dyDescent="0.3"/>
  <cols>
    <col min="1" max="1" width="14.109375" customWidth="1"/>
    <col min="2" max="2" width="14.33203125" customWidth="1"/>
    <col min="13" max="13" width="13.33203125" customWidth="1"/>
  </cols>
  <sheetData>
    <row r="1" spans="1:26" x14ac:dyDescent="0.3">
      <c r="A1" s="77" t="s">
        <v>158</v>
      </c>
      <c r="B1" s="77"/>
    </row>
    <row r="2" spans="1:26" x14ac:dyDescent="0.3">
      <c r="A2" s="139" t="s">
        <v>159</v>
      </c>
      <c r="B2" s="77"/>
    </row>
    <row r="3" spans="1:26" x14ac:dyDescent="0.3">
      <c r="A3" s="139"/>
      <c r="B3" s="77"/>
    </row>
    <row r="4" spans="1:26" x14ac:dyDescent="0.3">
      <c r="A4" s="77" t="s">
        <v>160</v>
      </c>
      <c r="B4" s="77"/>
    </row>
    <row r="5" spans="1:26" x14ac:dyDescent="0.3">
      <c r="A5" s="140"/>
    </row>
    <row r="6" spans="1:26" x14ac:dyDescent="0.3">
      <c r="A6" s="141"/>
      <c r="B6" s="142"/>
      <c r="C6" s="143" t="s">
        <v>161</v>
      </c>
      <c r="D6" s="143" t="s">
        <v>54</v>
      </c>
      <c r="E6" s="143" t="s">
        <v>49</v>
      </c>
      <c r="F6" s="143" t="s">
        <v>52</v>
      </c>
      <c r="G6" s="143" t="s">
        <v>162</v>
      </c>
      <c r="H6" s="143" t="s">
        <v>53</v>
      </c>
      <c r="I6" s="143" t="s">
        <v>55</v>
      </c>
      <c r="J6" s="143" t="s">
        <v>72</v>
      </c>
      <c r="K6" s="143" t="s">
        <v>50</v>
      </c>
      <c r="L6" s="143" t="s">
        <v>163</v>
      </c>
      <c r="M6" s="143" t="s">
        <v>164</v>
      </c>
      <c r="N6" s="143" t="s">
        <v>51</v>
      </c>
      <c r="O6" s="143" t="s">
        <v>165</v>
      </c>
      <c r="P6" s="143" t="s">
        <v>166</v>
      </c>
      <c r="Q6" s="143" t="s">
        <v>167</v>
      </c>
      <c r="R6" s="143" t="s">
        <v>168</v>
      </c>
      <c r="S6" s="143" t="s">
        <v>58</v>
      </c>
      <c r="T6" s="143" t="s">
        <v>169</v>
      </c>
      <c r="U6" s="143" t="s">
        <v>170</v>
      </c>
      <c r="V6" s="143" t="s">
        <v>171</v>
      </c>
      <c r="W6" s="143" t="s">
        <v>172</v>
      </c>
      <c r="X6" s="143" t="s">
        <v>173</v>
      </c>
      <c r="Y6" s="143" t="s">
        <v>174</v>
      </c>
      <c r="Z6" s="143" t="s">
        <v>57</v>
      </c>
    </row>
    <row r="7" spans="1:26" x14ac:dyDescent="0.3">
      <c r="A7" s="141"/>
      <c r="B7" s="142"/>
      <c r="C7" s="143" t="s">
        <v>175</v>
      </c>
      <c r="D7" s="143" t="s">
        <v>176</v>
      </c>
      <c r="E7" s="143" t="s">
        <v>177</v>
      </c>
      <c r="F7" s="143" t="s">
        <v>178</v>
      </c>
      <c r="G7" s="143" t="s">
        <v>179</v>
      </c>
      <c r="H7" s="143" t="s">
        <v>180</v>
      </c>
      <c r="I7" s="143" t="s">
        <v>181</v>
      </c>
      <c r="J7" s="143" t="s">
        <v>182</v>
      </c>
      <c r="K7" s="143" t="s">
        <v>183</v>
      </c>
      <c r="L7" s="143" t="s">
        <v>184</v>
      </c>
      <c r="M7" s="143" t="s">
        <v>185</v>
      </c>
      <c r="N7" s="143" t="s">
        <v>186</v>
      </c>
      <c r="O7" s="143" t="s">
        <v>187</v>
      </c>
      <c r="P7" s="143" t="s">
        <v>188</v>
      </c>
      <c r="Q7" s="143" t="s">
        <v>189</v>
      </c>
      <c r="R7" s="143" t="s">
        <v>190</v>
      </c>
      <c r="S7" s="143" t="s">
        <v>191</v>
      </c>
      <c r="T7" s="143" t="s">
        <v>192</v>
      </c>
      <c r="U7" s="143" t="s">
        <v>193</v>
      </c>
      <c r="V7" s="143" t="s">
        <v>194</v>
      </c>
      <c r="W7" s="143" t="s">
        <v>195</v>
      </c>
      <c r="X7" s="143" t="s">
        <v>196</v>
      </c>
      <c r="Y7" s="143" t="s">
        <v>197</v>
      </c>
      <c r="Z7" s="143" t="s">
        <v>198</v>
      </c>
    </row>
    <row r="8" spans="1:26" x14ac:dyDescent="0.3">
      <c r="A8" s="144" t="s">
        <v>199</v>
      </c>
      <c r="B8" s="144"/>
      <c r="C8" s="145">
        <v>0.05</v>
      </c>
      <c r="D8" s="145">
        <v>0.02</v>
      </c>
      <c r="E8" s="145">
        <v>0.05</v>
      </c>
      <c r="F8" s="145">
        <v>0.02</v>
      </c>
      <c r="G8" s="145">
        <v>0.05</v>
      </c>
      <c r="H8" s="145">
        <v>0.02</v>
      </c>
      <c r="I8" s="145">
        <v>0.02</v>
      </c>
      <c r="J8" s="145">
        <v>0.02</v>
      </c>
      <c r="K8" s="145">
        <v>0.02</v>
      </c>
      <c r="L8" s="145">
        <v>0.05</v>
      </c>
      <c r="M8" s="145">
        <v>0.02</v>
      </c>
      <c r="N8" s="145">
        <v>0.02</v>
      </c>
      <c r="O8" s="145">
        <v>0.02</v>
      </c>
      <c r="P8" s="145">
        <v>0.02</v>
      </c>
      <c r="Q8" s="145">
        <v>0.02</v>
      </c>
      <c r="R8" s="145">
        <v>0.02</v>
      </c>
      <c r="S8" s="145">
        <v>0.02</v>
      </c>
      <c r="T8" s="145">
        <v>0.02</v>
      </c>
      <c r="U8" s="145">
        <v>0.05</v>
      </c>
      <c r="V8" s="145">
        <v>0.02</v>
      </c>
      <c r="W8" s="145">
        <v>0.02</v>
      </c>
      <c r="X8" s="145">
        <v>0.02</v>
      </c>
      <c r="Y8" s="145">
        <v>0.05</v>
      </c>
      <c r="Z8" s="145">
        <v>0.02</v>
      </c>
    </row>
    <row r="9" spans="1:26" x14ac:dyDescent="0.3">
      <c r="A9" s="146" t="s">
        <v>200</v>
      </c>
      <c r="B9" s="147" t="s">
        <v>201</v>
      </c>
      <c r="C9" s="148" t="s">
        <v>202</v>
      </c>
      <c r="D9" s="148" t="s">
        <v>202</v>
      </c>
      <c r="E9" s="148" t="s">
        <v>202</v>
      </c>
      <c r="F9" s="148" t="s">
        <v>202</v>
      </c>
      <c r="G9" s="148" t="s">
        <v>202</v>
      </c>
      <c r="H9" s="148" t="s">
        <v>202</v>
      </c>
      <c r="I9" s="148" t="s">
        <v>202</v>
      </c>
      <c r="J9" s="148" t="s">
        <v>202</v>
      </c>
      <c r="K9" s="148" t="s">
        <v>202</v>
      </c>
      <c r="L9" s="148" t="s">
        <v>202</v>
      </c>
      <c r="M9" s="148" t="s">
        <v>202</v>
      </c>
      <c r="N9" s="148" t="s">
        <v>202</v>
      </c>
      <c r="O9" s="148" t="s">
        <v>202</v>
      </c>
      <c r="P9" s="148" t="s">
        <v>202</v>
      </c>
      <c r="Q9" s="148" t="s">
        <v>202</v>
      </c>
      <c r="R9" s="148" t="s">
        <v>202</v>
      </c>
      <c r="S9" s="148" t="s">
        <v>202</v>
      </c>
      <c r="T9" s="148" t="s">
        <v>202</v>
      </c>
      <c r="U9" s="148" t="s">
        <v>202</v>
      </c>
      <c r="V9" s="148" t="s">
        <v>202</v>
      </c>
      <c r="W9" s="148" t="s">
        <v>202</v>
      </c>
      <c r="X9" s="148" t="s">
        <v>202</v>
      </c>
      <c r="Y9" s="148" t="s">
        <v>202</v>
      </c>
      <c r="Z9" s="148" t="s">
        <v>202</v>
      </c>
    </row>
    <row r="10" spans="1:26" x14ac:dyDescent="0.3">
      <c r="A10" s="149">
        <v>15</v>
      </c>
      <c r="B10" s="47" t="s">
        <v>203</v>
      </c>
      <c r="C10" s="150" t="s">
        <v>204</v>
      </c>
      <c r="D10" s="150">
        <v>114.6204</v>
      </c>
      <c r="E10" s="150">
        <v>45.093000000000004</v>
      </c>
      <c r="F10" s="150">
        <v>60.557600000000001</v>
      </c>
      <c r="G10" s="150" t="s">
        <v>204</v>
      </c>
      <c r="H10" s="150">
        <v>26.4696</v>
      </c>
      <c r="I10" s="150">
        <v>13.357200000000001</v>
      </c>
      <c r="J10" s="150">
        <v>5.05</v>
      </c>
      <c r="K10" s="150">
        <v>8.1326999999999998</v>
      </c>
      <c r="L10" s="150" t="s">
        <v>204</v>
      </c>
      <c r="M10" s="150" t="s">
        <v>205</v>
      </c>
      <c r="N10" s="150">
        <v>0.34670000000000001</v>
      </c>
      <c r="O10" s="150" t="s">
        <v>205</v>
      </c>
      <c r="P10" s="150" t="s">
        <v>205</v>
      </c>
      <c r="Q10" s="150" t="s">
        <v>205</v>
      </c>
      <c r="R10" s="150" t="s">
        <v>205</v>
      </c>
      <c r="S10" s="150">
        <v>1.7210000000000001</v>
      </c>
      <c r="T10" s="150" t="s">
        <v>205</v>
      </c>
      <c r="U10" s="150" t="s">
        <v>204</v>
      </c>
      <c r="V10" s="150" t="s">
        <v>205</v>
      </c>
      <c r="W10" s="150" t="s">
        <v>205</v>
      </c>
      <c r="X10" s="150" t="s">
        <v>205</v>
      </c>
      <c r="Y10" s="150" t="s">
        <v>204</v>
      </c>
      <c r="Z10" s="151">
        <v>0.26150000000000001</v>
      </c>
    </row>
    <row r="11" spans="1:26" x14ac:dyDescent="0.3">
      <c r="A11" s="149">
        <v>16</v>
      </c>
      <c r="B11" s="47" t="s">
        <v>206</v>
      </c>
      <c r="C11" s="150" t="s">
        <v>204</v>
      </c>
      <c r="D11" s="150">
        <v>5.5145999999999997</v>
      </c>
      <c r="E11" s="150">
        <v>2.9336000000000002</v>
      </c>
      <c r="F11" s="150">
        <v>4.8742000000000001</v>
      </c>
      <c r="G11" s="150" t="s">
        <v>204</v>
      </c>
      <c r="H11" s="150">
        <v>4.8132999999999999</v>
      </c>
      <c r="I11" s="150">
        <v>4.3362999999999996</v>
      </c>
      <c r="J11" s="150">
        <v>2.2772000000000001</v>
      </c>
      <c r="K11" s="150">
        <v>3.7311999999999999</v>
      </c>
      <c r="L11" s="150" t="s">
        <v>204</v>
      </c>
      <c r="M11" s="150" t="s">
        <v>205</v>
      </c>
      <c r="N11" s="150">
        <v>5.62E-2</v>
      </c>
      <c r="O11" s="150" t="s">
        <v>205</v>
      </c>
      <c r="P11" s="150" t="s">
        <v>205</v>
      </c>
      <c r="Q11" s="150" t="s">
        <v>205</v>
      </c>
      <c r="R11" s="150" t="s">
        <v>205</v>
      </c>
      <c r="S11" s="150">
        <v>0.1598</v>
      </c>
      <c r="T11" s="150" t="s">
        <v>205</v>
      </c>
      <c r="U11" s="150" t="s">
        <v>204</v>
      </c>
      <c r="V11" s="150" t="s">
        <v>205</v>
      </c>
      <c r="W11" s="150" t="s">
        <v>205</v>
      </c>
      <c r="X11" s="150" t="s">
        <v>205</v>
      </c>
      <c r="Y11" s="150" t="s">
        <v>204</v>
      </c>
      <c r="Z11" s="151">
        <v>3.09E-2</v>
      </c>
    </row>
    <row r="12" spans="1:26" x14ac:dyDescent="0.3">
      <c r="A12" s="149">
        <v>17</v>
      </c>
      <c r="B12" s="47" t="s">
        <v>207</v>
      </c>
      <c r="C12" s="150" t="s">
        <v>204</v>
      </c>
      <c r="D12" s="150">
        <v>4.3478000000000003</v>
      </c>
      <c r="E12" s="150">
        <v>2.6751</v>
      </c>
      <c r="F12" s="150">
        <v>6.7180999999999997</v>
      </c>
      <c r="G12" s="150" t="s">
        <v>204</v>
      </c>
      <c r="H12" s="150">
        <v>11.802099999999999</v>
      </c>
      <c r="I12" s="150">
        <v>7.3390000000000004</v>
      </c>
      <c r="J12" s="150">
        <v>2.2919</v>
      </c>
      <c r="K12" s="150">
        <v>4.8188000000000004</v>
      </c>
      <c r="L12" s="150" t="s">
        <v>204</v>
      </c>
      <c r="M12" s="150" t="s">
        <v>205</v>
      </c>
      <c r="N12" s="150">
        <v>3.6999999999999998E-2</v>
      </c>
      <c r="O12" s="150" t="s">
        <v>205</v>
      </c>
      <c r="P12" s="150" t="s">
        <v>205</v>
      </c>
      <c r="Q12" s="150" t="s">
        <v>205</v>
      </c>
      <c r="R12" s="150" t="s">
        <v>205</v>
      </c>
      <c r="S12" s="150">
        <v>0.16420000000000001</v>
      </c>
      <c r="T12" s="150" t="s">
        <v>205</v>
      </c>
      <c r="U12" s="150" t="s">
        <v>204</v>
      </c>
      <c r="V12" s="150" t="s">
        <v>205</v>
      </c>
      <c r="W12" s="150" t="s">
        <v>205</v>
      </c>
      <c r="X12" s="150" t="s">
        <v>205</v>
      </c>
      <c r="Y12" s="150" t="s">
        <v>204</v>
      </c>
      <c r="Z12" s="151">
        <v>3.5499999999999997E-2</v>
      </c>
    </row>
    <row r="13" spans="1:26" x14ac:dyDescent="0.3">
      <c r="A13" s="149">
        <v>18</v>
      </c>
      <c r="B13" s="47" t="s">
        <v>208</v>
      </c>
      <c r="C13" s="150" t="s">
        <v>204</v>
      </c>
      <c r="D13" s="150">
        <v>94.189800000000005</v>
      </c>
      <c r="E13" s="150">
        <v>34.557499999999997</v>
      </c>
      <c r="F13" s="150">
        <v>41.824199999999998</v>
      </c>
      <c r="G13" s="150" t="s">
        <v>204</v>
      </c>
      <c r="H13" s="150">
        <v>12.9847</v>
      </c>
      <c r="I13" s="150">
        <v>4.8057999999999996</v>
      </c>
      <c r="J13" s="150">
        <v>1.73</v>
      </c>
      <c r="K13" s="150">
        <v>2.4016000000000002</v>
      </c>
      <c r="L13" s="150" t="s">
        <v>204</v>
      </c>
      <c r="M13" s="150" t="s">
        <v>205</v>
      </c>
      <c r="N13" s="150">
        <v>0.1178</v>
      </c>
      <c r="O13" s="150" t="s">
        <v>205</v>
      </c>
      <c r="P13" s="150" t="s">
        <v>205</v>
      </c>
      <c r="Q13" s="150" t="s">
        <v>205</v>
      </c>
      <c r="R13" s="150" t="s">
        <v>205</v>
      </c>
      <c r="S13" s="150">
        <v>1.0608</v>
      </c>
      <c r="T13" s="150" t="s">
        <v>205</v>
      </c>
      <c r="U13" s="150" t="s">
        <v>204</v>
      </c>
      <c r="V13" s="150" t="s">
        <v>205</v>
      </c>
      <c r="W13" s="150" t="s">
        <v>205</v>
      </c>
      <c r="X13" s="150" t="s">
        <v>205</v>
      </c>
      <c r="Y13" s="150" t="s">
        <v>204</v>
      </c>
      <c r="Z13" s="151">
        <v>0.18310000000000001</v>
      </c>
    </row>
    <row r="14" spans="1:26" x14ac:dyDescent="0.3">
      <c r="A14" s="149">
        <v>19</v>
      </c>
      <c r="B14" s="47" t="s">
        <v>209</v>
      </c>
      <c r="C14" s="150" t="s">
        <v>204</v>
      </c>
      <c r="D14" s="150">
        <v>24.271000000000001</v>
      </c>
      <c r="E14" s="150">
        <v>10.991400000000001</v>
      </c>
      <c r="F14" s="150">
        <v>15.8508</v>
      </c>
      <c r="G14" s="150" t="s">
        <v>204</v>
      </c>
      <c r="H14" s="150">
        <v>8.2640999999999991</v>
      </c>
      <c r="I14" s="150">
        <v>4.5437000000000003</v>
      </c>
      <c r="J14" s="150">
        <v>1.6035999999999999</v>
      </c>
      <c r="K14" s="150">
        <v>2.5320999999999998</v>
      </c>
      <c r="L14" s="150" t="s">
        <v>204</v>
      </c>
      <c r="M14" s="150" t="s">
        <v>205</v>
      </c>
      <c r="N14" s="150">
        <v>2.4199999999999999E-2</v>
      </c>
      <c r="O14" s="150" t="s">
        <v>205</v>
      </c>
      <c r="P14" s="150" t="s">
        <v>205</v>
      </c>
      <c r="Q14" s="150" t="s">
        <v>205</v>
      </c>
      <c r="R14" s="150" t="s">
        <v>205</v>
      </c>
      <c r="S14" s="150">
        <v>0.1244</v>
      </c>
      <c r="T14" s="150" t="s">
        <v>205</v>
      </c>
      <c r="U14" s="150" t="s">
        <v>204</v>
      </c>
      <c r="V14" s="150" t="s">
        <v>205</v>
      </c>
      <c r="W14" s="150" t="s">
        <v>205</v>
      </c>
      <c r="X14" s="150" t="s">
        <v>205</v>
      </c>
      <c r="Y14" s="150" t="s">
        <v>204</v>
      </c>
      <c r="Z14" s="151">
        <v>3.4099999999999998E-2</v>
      </c>
    </row>
    <row r="15" spans="1:26" x14ac:dyDescent="0.3">
      <c r="A15" s="149">
        <v>20</v>
      </c>
      <c r="B15" s="47" t="s">
        <v>210</v>
      </c>
      <c r="C15" s="150" t="s">
        <v>204</v>
      </c>
      <c r="D15" s="150">
        <v>12.5687</v>
      </c>
      <c r="E15" s="150">
        <v>6.6787000000000001</v>
      </c>
      <c r="F15" s="150">
        <v>11.190200000000001</v>
      </c>
      <c r="G15" s="150" t="s">
        <v>204</v>
      </c>
      <c r="H15" s="150">
        <v>11.0631</v>
      </c>
      <c r="I15" s="150">
        <v>6.8544</v>
      </c>
      <c r="J15" s="150">
        <v>2.2271999999999998</v>
      </c>
      <c r="K15" s="150">
        <v>3.6739000000000002</v>
      </c>
      <c r="L15" s="150" t="s">
        <v>204</v>
      </c>
      <c r="M15" s="150" t="s">
        <v>205</v>
      </c>
      <c r="N15" s="150">
        <v>1.8700000000000001E-2</v>
      </c>
      <c r="O15" s="150" t="s">
        <v>205</v>
      </c>
      <c r="P15" s="150" t="s">
        <v>205</v>
      </c>
      <c r="Q15" s="150" t="s">
        <v>205</v>
      </c>
      <c r="R15" s="150" t="s">
        <v>205</v>
      </c>
      <c r="S15" s="150">
        <v>0.15959999999999999</v>
      </c>
      <c r="T15" s="150" t="s">
        <v>205</v>
      </c>
      <c r="U15" s="150" t="s">
        <v>204</v>
      </c>
      <c r="V15" s="150" t="s">
        <v>205</v>
      </c>
      <c r="W15" s="150" t="s">
        <v>205</v>
      </c>
      <c r="X15" s="150" t="s">
        <v>205</v>
      </c>
      <c r="Y15" s="150" t="s">
        <v>204</v>
      </c>
      <c r="Z15" s="151">
        <v>5.1900000000000002E-2</v>
      </c>
    </row>
    <row r="16" spans="1:26" x14ac:dyDescent="0.3">
      <c r="A16" s="149">
        <v>21</v>
      </c>
      <c r="B16" s="47" t="s">
        <v>211</v>
      </c>
      <c r="C16" s="150" t="s">
        <v>204</v>
      </c>
      <c r="D16" s="150">
        <v>80.533199999999994</v>
      </c>
      <c r="E16" s="150">
        <v>31.295300000000001</v>
      </c>
      <c r="F16" s="150">
        <v>37.237400000000001</v>
      </c>
      <c r="G16" s="150" t="s">
        <v>204</v>
      </c>
      <c r="H16" s="150">
        <v>11.063499999999999</v>
      </c>
      <c r="I16" s="150">
        <v>3.6568999999999998</v>
      </c>
      <c r="J16" s="150">
        <v>1.1278999999999999</v>
      </c>
      <c r="K16" s="150">
        <v>1.5469999999999999</v>
      </c>
      <c r="L16" s="150" t="s">
        <v>204</v>
      </c>
      <c r="M16" s="150" t="s">
        <v>205</v>
      </c>
      <c r="N16" s="150">
        <v>6.1199999999999997E-2</v>
      </c>
      <c r="O16" s="150" t="s">
        <v>205</v>
      </c>
      <c r="P16" s="150" t="s">
        <v>205</v>
      </c>
      <c r="Q16" s="150" t="s">
        <v>205</v>
      </c>
      <c r="R16" s="150" t="s">
        <v>205</v>
      </c>
      <c r="S16" s="150">
        <v>0.60440000000000005</v>
      </c>
      <c r="T16" s="150" t="s">
        <v>205</v>
      </c>
      <c r="U16" s="150" t="s">
        <v>204</v>
      </c>
      <c r="V16" s="150" t="s">
        <v>205</v>
      </c>
      <c r="W16" s="150" t="s">
        <v>205</v>
      </c>
      <c r="X16" s="150" t="s">
        <v>205</v>
      </c>
      <c r="Y16" s="150" t="s">
        <v>204</v>
      </c>
      <c r="Z16" s="151">
        <v>0.17460000000000001</v>
      </c>
    </row>
    <row r="17" spans="1:26" x14ac:dyDescent="0.3">
      <c r="A17" s="149">
        <v>22</v>
      </c>
      <c r="B17" s="47" t="s">
        <v>212</v>
      </c>
      <c r="C17" s="150" t="s">
        <v>204</v>
      </c>
      <c r="D17" s="150">
        <v>28.323699999999999</v>
      </c>
      <c r="E17" s="150">
        <v>12.8108</v>
      </c>
      <c r="F17" s="150">
        <v>18.2622</v>
      </c>
      <c r="G17" s="150" t="s">
        <v>204</v>
      </c>
      <c r="H17" s="150">
        <v>8.3612000000000002</v>
      </c>
      <c r="I17" s="150">
        <v>3.6046999999999998</v>
      </c>
      <c r="J17" s="150">
        <v>1.0630999999999999</v>
      </c>
      <c r="K17" s="150">
        <v>1.6005</v>
      </c>
      <c r="L17" s="150" t="s">
        <v>204</v>
      </c>
      <c r="M17" s="150" t="s">
        <v>205</v>
      </c>
      <c r="N17" s="150">
        <v>2.8400000000000002E-2</v>
      </c>
      <c r="O17" s="150" t="s">
        <v>205</v>
      </c>
      <c r="P17" s="150" t="s">
        <v>205</v>
      </c>
      <c r="Q17" s="150" t="s">
        <v>205</v>
      </c>
      <c r="R17" s="150" t="s">
        <v>205</v>
      </c>
      <c r="S17" s="150">
        <v>9.5100000000000004E-2</v>
      </c>
      <c r="T17" s="150" t="s">
        <v>205</v>
      </c>
      <c r="U17" s="150" t="s">
        <v>204</v>
      </c>
      <c r="V17" s="150" t="s">
        <v>205</v>
      </c>
      <c r="W17" s="150" t="s">
        <v>205</v>
      </c>
      <c r="X17" s="150" t="s">
        <v>205</v>
      </c>
      <c r="Y17" s="150" t="s">
        <v>204</v>
      </c>
      <c r="Z17" s="151">
        <v>3.9899999999999998E-2</v>
      </c>
    </row>
    <row r="18" spans="1:26" x14ac:dyDescent="0.3">
      <c r="A18" s="149">
        <v>23</v>
      </c>
      <c r="B18" s="47" t="s">
        <v>213</v>
      </c>
      <c r="C18" s="150" t="s">
        <v>204</v>
      </c>
      <c r="D18" s="150">
        <v>15.2796</v>
      </c>
      <c r="E18" s="150">
        <v>7.2111999999999998</v>
      </c>
      <c r="F18" s="150">
        <v>13.041</v>
      </c>
      <c r="G18" s="150" t="s">
        <v>204</v>
      </c>
      <c r="H18" s="150">
        <v>11.900700000000001</v>
      </c>
      <c r="I18" s="150">
        <v>6.9429999999999996</v>
      </c>
      <c r="J18" s="150">
        <v>2.2543000000000002</v>
      </c>
      <c r="K18" s="150">
        <v>4.0551000000000004</v>
      </c>
      <c r="L18" s="150" t="s">
        <v>204</v>
      </c>
      <c r="M18" s="150" t="s">
        <v>205</v>
      </c>
      <c r="N18" s="150">
        <v>4.8000000000000001E-2</v>
      </c>
      <c r="O18" s="150" t="s">
        <v>205</v>
      </c>
      <c r="P18" s="150" t="s">
        <v>205</v>
      </c>
      <c r="Q18" s="150" t="s">
        <v>205</v>
      </c>
      <c r="R18" s="150" t="s">
        <v>205</v>
      </c>
      <c r="S18" s="150">
        <v>0.22789999999999999</v>
      </c>
      <c r="T18" s="150" t="s">
        <v>205</v>
      </c>
      <c r="U18" s="150" t="s">
        <v>204</v>
      </c>
      <c r="V18" s="150" t="s">
        <v>205</v>
      </c>
      <c r="W18" s="150" t="s">
        <v>205</v>
      </c>
      <c r="X18" s="150" t="s">
        <v>205</v>
      </c>
      <c r="Y18" s="150" t="s">
        <v>204</v>
      </c>
      <c r="Z18" s="151">
        <v>5.4199999999999998E-2</v>
      </c>
    </row>
    <row r="19" spans="1:26" x14ac:dyDescent="0.3">
      <c r="A19" s="149">
        <v>24</v>
      </c>
      <c r="B19" s="47" t="s">
        <v>214</v>
      </c>
      <c r="C19" s="150" t="s">
        <v>204</v>
      </c>
      <c r="D19" s="150">
        <v>80.232100000000003</v>
      </c>
      <c r="E19" s="150">
        <v>30.706499999999998</v>
      </c>
      <c r="F19" s="150">
        <v>37.911900000000003</v>
      </c>
      <c r="G19" s="150" t="s">
        <v>204</v>
      </c>
      <c r="H19" s="150">
        <v>11.4373</v>
      </c>
      <c r="I19" s="150">
        <v>3.8119000000000001</v>
      </c>
      <c r="J19" s="150">
        <v>1.3105</v>
      </c>
      <c r="K19" s="150">
        <v>1.7070000000000001</v>
      </c>
      <c r="L19" s="150" t="s">
        <v>204</v>
      </c>
      <c r="M19" s="150" t="s">
        <v>205</v>
      </c>
      <c r="N19" s="150">
        <v>0.1817</v>
      </c>
      <c r="O19" s="150" t="s">
        <v>205</v>
      </c>
      <c r="P19" s="150" t="s">
        <v>205</v>
      </c>
      <c r="Q19" s="150" t="s">
        <v>205</v>
      </c>
      <c r="R19" s="150" t="s">
        <v>205</v>
      </c>
      <c r="S19" s="150">
        <v>1.5492999999999999</v>
      </c>
      <c r="T19" s="150" t="s">
        <v>205</v>
      </c>
      <c r="U19" s="150" t="s">
        <v>204</v>
      </c>
      <c r="V19" s="150" t="s">
        <v>205</v>
      </c>
      <c r="W19" s="150" t="s">
        <v>205</v>
      </c>
      <c r="X19" s="150" t="s">
        <v>205</v>
      </c>
      <c r="Y19" s="150" t="s">
        <v>204</v>
      </c>
      <c r="Z19" s="151">
        <v>0.1968</v>
      </c>
    </row>
    <row r="20" spans="1:26" x14ac:dyDescent="0.3">
      <c r="A20" s="149">
        <v>25</v>
      </c>
      <c r="B20" s="47" t="s">
        <v>215</v>
      </c>
      <c r="C20" s="150" t="s">
        <v>204</v>
      </c>
      <c r="D20" s="150">
        <v>27.177199999999999</v>
      </c>
      <c r="E20" s="150">
        <v>12.3825</v>
      </c>
      <c r="F20" s="150">
        <v>17.379300000000001</v>
      </c>
      <c r="G20" s="150" t="s">
        <v>204</v>
      </c>
      <c r="H20" s="150">
        <v>7.9029999999999996</v>
      </c>
      <c r="I20" s="150">
        <v>3.2793000000000001</v>
      </c>
      <c r="J20" s="150">
        <v>1.1456999999999999</v>
      </c>
      <c r="K20" s="150">
        <v>1.6328</v>
      </c>
      <c r="L20" s="150" t="s">
        <v>204</v>
      </c>
      <c r="M20" s="150" t="s">
        <v>205</v>
      </c>
      <c r="N20" s="150">
        <v>2.7400000000000001E-2</v>
      </c>
      <c r="O20" s="150" t="s">
        <v>205</v>
      </c>
      <c r="P20" s="150" t="s">
        <v>205</v>
      </c>
      <c r="Q20" s="150" t="s">
        <v>205</v>
      </c>
      <c r="R20" s="150" t="s">
        <v>205</v>
      </c>
      <c r="S20" s="150">
        <v>0.1338</v>
      </c>
      <c r="T20" s="150" t="s">
        <v>205</v>
      </c>
      <c r="U20" s="150" t="s">
        <v>204</v>
      </c>
      <c r="V20" s="150" t="s">
        <v>205</v>
      </c>
      <c r="W20" s="150" t="s">
        <v>205</v>
      </c>
      <c r="X20" s="150" t="s">
        <v>205</v>
      </c>
      <c r="Y20" s="150" t="s">
        <v>204</v>
      </c>
      <c r="Z20" s="151">
        <v>4.7899999999999998E-2</v>
      </c>
    </row>
    <row r="21" spans="1:26" x14ac:dyDescent="0.3">
      <c r="A21" s="149">
        <v>26</v>
      </c>
      <c r="B21" s="47" t="s">
        <v>216</v>
      </c>
      <c r="C21" s="150" t="s">
        <v>204</v>
      </c>
      <c r="D21" s="150">
        <v>14.616199999999999</v>
      </c>
      <c r="E21" s="150">
        <v>7.2335000000000003</v>
      </c>
      <c r="F21" s="150">
        <v>12.299799999999999</v>
      </c>
      <c r="G21" s="150" t="s">
        <v>204</v>
      </c>
      <c r="H21" s="150">
        <v>11.4664</v>
      </c>
      <c r="I21" s="150">
        <v>7.1974</v>
      </c>
      <c r="J21" s="150">
        <v>2.2955000000000001</v>
      </c>
      <c r="K21" s="150">
        <v>3.9908999999999999</v>
      </c>
      <c r="L21" s="150" t="s">
        <v>204</v>
      </c>
      <c r="M21" s="150" t="s">
        <v>205</v>
      </c>
      <c r="N21" s="150" t="s">
        <v>205</v>
      </c>
      <c r="O21" s="150" t="s">
        <v>205</v>
      </c>
      <c r="P21" s="150" t="s">
        <v>205</v>
      </c>
      <c r="Q21" s="150" t="s">
        <v>205</v>
      </c>
      <c r="R21" s="150" t="s">
        <v>205</v>
      </c>
      <c r="S21" s="150">
        <v>0.1303</v>
      </c>
      <c r="T21" s="150" t="s">
        <v>205</v>
      </c>
      <c r="U21" s="150" t="s">
        <v>204</v>
      </c>
      <c r="V21" s="150" t="s">
        <v>205</v>
      </c>
      <c r="W21" s="150" t="s">
        <v>205</v>
      </c>
      <c r="X21" s="150" t="s">
        <v>205</v>
      </c>
      <c r="Y21" s="150" t="s">
        <v>204</v>
      </c>
      <c r="Z21" s="151">
        <v>4.24E-2</v>
      </c>
    </row>
    <row r="22" spans="1:26" x14ac:dyDescent="0.3">
      <c r="A22" s="140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</row>
    <row r="23" spans="1:26" x14ac:dyDescent="0.3">
      <c r="A23" s="141"/>
      <c r="B23" s="142"/>
      <c r="C23" s="142"/>
      <c r="D23" s="142"/>
      <c r="E23" s="143" t="s">
        <v>54</v>
      </c>
      <c r="F23" s="143" t="s">
        <v>49</v>
      </c>
      <c r="G23" s="143" t="s">
        <v>52</v>
      </c>
      <c r="H23" s="143" t="s">
        <v>53</v>
      </c>
      <c r="I23" s="143" t="s">
        <v>55</v>
      </c>
      <c r="J23" s="143" t="s">
        <v>72</v>
      </c>
      <c r="K23" s="143" t="s">
        <v>50</v>
      </c>
      <c r="L23" s="143" t="s">
        <v>51</v>
      </c>
      <c r="M23" s="143" t="s">
        <v>58</v>
      </c>
      <c r="N23" s="143" t="s">
        <v>57</v>
      </c>
    </row>
    <row r="24" spans="1:26" x14ac:dyDescent="0.3">
      <c r="A24" s="141"/>
      <c r="B24" s="142"/>
      <c r="C24" s="142"/>
      <c r="D24" s="142"/>
      <c r="E24" s="152" t="s">
        <v>176</v>
      </c>
      <c r="F24" s="152" t="s">
        <v>177</v>
      </c>
      <c r="G24" s="152" t="s">
        <v>178</v>
      </c>
      <c r="H24" s="152" t="s">
        <v>180</v>
      </c>
      <c r="I24" s="152" t="s">
        <v>181</v>
      </c>
      <c r="J24" s="152" t="s">
        <v>182</v>
      </c>
      <c r="K24" s="152" t="s">
        <v>183</v>
      </c>
      <c r="L24" s="152" t="s">
        <v>186</v>
      </c>
      <c r="M24" s="152" t="s">
        <v>191</v>
      </c>
      <c r="N24" s="152" t="s">
        <v>198</v>
      </c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</row>
    <row r="25" spans="1:26" x14ac:dyDescent="0.3">
      <c r="A25" s="144" t="s">
        <v>199</v>
      </c>
      <c r="B25" s="144"/>
      <c r="C25" s="153"/>
      <c r="D25" s="153"/>
      <c r="E25" s="145">
        <v>0.02</v>
      </c>
      <c r="F25" s="145">
        <v>0.05</v>
      </c>
      <c r="G25" s="145">
        <v>0.02</v>
      </c>
      <c r="H25" s="145">
        <v>0.02</v>
      </c>
      <c r="I25" s="145">
        <v>0.02</v>
      </c>
      <c r="J25" s="145">
        <v>0.02</v>
      </c>
      <c r="K25" s="145">
        <v>0.02</v>
      </c>
      <c r="L25" s="145">
        <v>0.02</v>
      </c>
      <c r="M25" s="145">
        <v>0.02</v>
      </c>
      <c r="N25" s="145">
        <v>0.02</v>
      </c>
    </row>
    <row r="26" spans="1:26" x14ac:dyDescent="0.3">
      <c r="A26" s="146" t="s">
        <v>200</v>
      </c>
      <c r="B26" s="147" t="s">
        <v>201</v>
      </c>
      <c r="C26" s="147" t="s">
        <v>217</v>
      </c>
      <c r="D26" s="147" t="s">
        <v>218</v>
      </c>
      <c r="E26" s="148" t="s">
        <v>202</v>
      </c>
      <c r="F26" s="148" t="s">
        <v>202</v>
      </c>
      <c r="G26" s="148" t="s">
        <v>202</v>
      </c>
      <c r="H26" s="148" t="s">
        <v>202</v>
      </c>
      <c r="I26" s="148" t="s">
        <v>202</v>
      </c>
      <c r="J26" s="148" t="s">
        <v>202</v>
      </c>
      <c r="K26" s="148" t="s">
        <v>202</v>
      </c>
      <c r="L26" s="148" t="s">
        <v>202</v>
      </c>
      <c r="M26" s="148" t="s">
        <v>202</v>
      </c>
      <c r="N26" s="148" t="s">
        <v>202</v>
      </c>
    </row>
    <row r="27" spans="1:26" x14ac:dyDescent="0.3">
      <c r="A27" s="149">
        <v>0</v>
      </c>
      <c r="B27" t="s">
        <v>219</v>
      </c>
      <c r="C27">
        <v>1</v>
      </c>
      <c r="D27">
        <v>0</v>
      </c>
      <c r="E27" s="150">
        <v>125.4766</v>
      </c>
      <c r="F27" s="150">
        <v>74.297499999999999</v>
      </c>
      <c r="G27" s="150">
        <v>75.791899999999998</v>
      </c>
      <c r="H27" s="150">
        <v>44.241</v>
      </c>
      <c r="I27" s="150">
        <v>39.621000000000002</v>
      </c>
      <c r="J27" s="150">
        <v>21.523800000000001</v>
      </c>
      <c r="K27" s="150">
        <v>45.165999999999997</v>
      </c>
      <c r="L27" s="150">
        <v>3.9582000000000002</v>
      </c>
      <c r="M27" s="150">
        <v>7.2191999999999998</v>
      </c>
      <c r="N27" s="154">
        <v>1.1399999999999999</v>
      </c>
    </row>
    <row r="28" spans="1:26" x14ac:dyDescent="0.3">
      <c r="A28" s="149">
        <v>1</v>
      </c>
      <c r="B28" t="s">
        <v>220</v>
      </c>
      <c r="C28">
        <v>1</v>
      </c>
      <c r="D28">
        <v>0.1</v>
      </c>
      <c r="E28" s="150">
        <v>42.543399999999998</v>
      </c>
      <c r="F28" s="150">
        <v>16.608899999999998</v>
      </c>
      <c r="G28" s="150">
        <v>23.107900000000001</v>
      </c>
      <c r="H28" s="150">
        <v>14.539300000000001</v>
      </c>
      <c r="I28" s="150">
        <v>17.977</v>
      </c>
      <c r="J28" s="150">
        <v>8.4156999999999993</v>
      </c>
      <c r="K28" s="150">
        <v>20.703199999999999</v>
      </c>
      <c r="L28" s="150">
        <v>2.3860999999999999</v>
      </c>
      <c r="M28" s="150">
        <v>2.645</v>
      </c>
      <c r="N28" s="154">
        <v>0.87</v>
      </c>
    </row>
    <row r="29" spans="1:26" x14ac:dyDescent="0.3">
      <c r="A29" s="149">
        <v>2</v>
      </c>
      <c r="B29" t="s">
        <v>221</v>
      </c>
      <c r="C29">
        <v>2</v>
      </c>
      <c r="D29">
        <v>0.1</v>
      </c>
      <c r="E29" s="150">
        <v>1.1100000000000001</v>
      </c>
      <c r="F29" s="150">
        <v>0.55049999999999999</v>
      </c>
      <c r="G29" s="150">
        <v>0.79600000000000004</v>
      </c>
      <c r="H29" s="150">
        <v>0.56579999999999997</v>
      </c>
      <c r="I29" s="150">
        <v>0.43</v>
      </c>
      <c r="J29" s="150">
        <v>0.47</v>
      </c>
      <c r="K29" s="150">
        <v>0.72660000000000002</v>
      </c>
      <c r="L29" s="150">
        <v>0.1245</v>
      </c>
      <c r="M29" s="150">
        <v>0.2041</v>
      </c>
      <c r="N29" s="154">
        <v>4.9000000000000002E-2</v>
      </c>
    </row>
    <row r="30" spans="1:26" x14ac:dyDescent="0.3">
      <c r="A30" s="149">
        <v>3</v>
      </c>
      <c r="B30" t="s">
        <v>222</v>
      </c>
      <c r="C30">
        <v>3</v>
      </c>
      <c r="D30">
        <v>0.1</v>
      </c>
      <c r="E30" s="150">
        <v>0.21510000000000001</v>
      </c>
      <c r="F30" s="150">
        <v>9.2200000000000004E-2</v>
      </c>
      <c r="G30" s="150">
        <v>0.12839999999999999</v>
      </c>
      <c r="H30" s="150">
        <v>0.1152</v>
      </c>
      <c r="I30" s="150">
        <v>0.11219999999999999</v>
      </c>
      <c r="J30" s="150">
        <v>0.1079</v>
      </c>
      <c r="K30" s="150">
        <v>0.16589999999999999</v>
      </c>
      <c r="L30" s="150">
        <v>0.1026</v>
      </c>
      <c r="M30" s="150">
        <v>0.12429999999999999</v>
      </c>
      <c r="N30" s="154">
        <v>0.05</v>
      </c>
    </row>
    <row r="31" spans="1:26" x14ac:dyDescent="0.3">
      <c r="A31" s="149">
        <v>4</v>
      </c>
      <c r="B31" t="s">
        <v>223</v>
      </c>
      <c r="C31">
        <v>1</v>
      </c>
      <c r="D31">
        <v>1</v>
      </c>
      <c r="E31" s="150">
        <v>86.509699999999995</v>
      </c>
      <c r="F31" s="150">
        <v>40.124000000000002</v>
      </c>
      <c r="G31" s="150">
        <v>49.863300000000002</v>
      </c>
      <c r="H31" s="150">
        <v>30.107099999999999</v>
      </c>
      <c r="I31" s="150">
        <v>30.387899999999998</v>
      </c>
      <c r="J31" s="150">
        <v>15.0289</v>
      </c>
      <c r="K31" s="150">
        <v>35.724699999999999</v>
      </c>
      <c r="L31" s="150">
        <v>3.4485999999999999</v>
      </c>
      <c r="M31" s="150">
        <v>3.6848999999999998</v>
      </c>
      <c r="N31" s="154">
        <v>0.93700000000000006</v>
      </c>
      <c r="P31" s="41"/>
      <c r="Q31" s="42"/>
      <c r="R31" s="42"/>
      <c r="S31" s="42"/>
      <c r="T31" s="42"/>
      <c r="U31" s="42"/>
      <c r="V31" s="155"/>
      <c r="W31" s="155"/>
    </row>
    <row r="32" spans="1:26" x14ac:dyDescent="0.3">
      <c r="A32" s="149">
        <v>5</v>
      </c>
      <c r="B32" t="s">
        <v>224</v>
      </c>
      <c r="C32">
        <v>2</v>
      </c>
      <c r="D32">
        <v>1</v>
      </c>
      <c r="E32" s="150">
        <v>0.51790000000000003</v>
      </c>
      <c r="F32" s="150">
        <v>0.21510000000000001</v>
      </c>
      <c r="G32" s="150">
        <v>0.32140000000000002</v>
      </c>
      <c r="H32" s="150">
        <v>0.26419999999999999</v>
      </c>
      <c r="I32" s="150">
        <v>0.21010000000000001</v>
      </c>
      <c r="J32" s="150">
        <v>0.16739999999999999</v>
      </c>
      <c r="K32" s="150">
        <v>0.31879999999999997</v>
      </c>
      <c r="L32" s="150">
        <v>0.02</v>
      </c>
      <c r="M32" s="150">
        <v>7.7799999999999994E-2</v>
      </c>
      <c r="N32" s="154">
        <v>0.05</v>
      </c>
      <c r="P32" s="41"/>
      <c r="Q32" s="41"/>
      <c r="R32" s="42"/>
      <c r="S32" s="42"/>
      <c r="T32" s="42"/>
      <c r="U32" s="155"/>
      <c r="V32" s="155"/>
      <c r="W32" s="155"/>
    </row>
    <row r="33" spans="1:26" x14ac:dyDescent="0.3">
      <c r="A33" s="149">
        <v>6</v>
      </c>
      <c r="B33" t="s">
        <v>225</v>
      </c>
      <c r="C33">
        <v>3</v>
      </c>
      <c r="D33">
        <v>1</v>
      </c>
      <c r="E33" s="150">
        <v>0.193</v>
      </c>
      <c r="F33" s="150">
        <v>6.6699999999999995E-2</v>
      </c>
      <c r="G33" s="150">
        <v>0.13969999999999999</v>
      </c>
      <c r="H33" s="150">
        <v>0.11310000000000001</v>
      </c>
      <c r="I33" s="150">
        <v>7.3899999999999993E-2</v>
      </c>
      <c r="J33" s="150">
        <v>0.09</v>
      </c>
      <c r="K33" s="150">
        <v>0.12</v>
      </c>
      <c r="L33" s="150">
        <v>1.89E-2</v>
      </c>
      <c r="M33" s="150">
        <v>1.6000000000000001E-3</v>
      </c>
      <c r="N33" s="154">
        <v>0.05</v>
      </c>
      <c r="P33" s="41"/>
      <c r="Q33" s="41"/>
      <c r="R33" s="42"/>
      <c r="S33" s="42"/>
      <c r="T33" s="42"/>
      <c r="U33" s="155"/>
      <c r="V33" s="155"/>
      <c r="W33" s="155"/>
    </row>
    <row r="34" spans="1:26" x14ac:dyDescent="0.3">
      <c r="A34" s="149">
        <v>7</v>
      </c>
      <c r="B34" t="s">
        <v>226</v>
      </c>
      <c r="C34">
        <v>1</v>
      </c>
      <c r="D34">
        <v>24</v>
      </c>
      <c r="E34" s="150">
        <v>122.45780000000001</v>
      </c>
      <c r="F34" s="150">
        <v>37.3093</v>
      </c>
      <c r="G34" s="150">
        <v>67.696799999999996</v>
      </c>
      <c r="H34" s="150">
        <v>36.4024</v>
      </c>
      <c r="I34" s="150">
        <v>21.9742</v>
      </c>
      <c r="J34" s="150">
        <v>9.9884000000000004</v>
      </c>
      <c r="K34" s="150">
        <v>18.11</v>
      </c>
      <c r="L34" s="150">
        <v>1.8038000000000001</v>
      </c>
      <c r="M34" s="150">
        <v>8.8164999999999996</v>
      </c>
      <c r="N34" s="154">
        <v>0.84</v>
      </c>
      <c r="P34" s="41"/>
      <c r="Q34" s="41"/>
      <c r="R34" s="41"/>
      <c r="S34" s="42"/>
      <c r="T34" s="42"/>
      <c r="U34" s="41"/>
      <c r="V34" s="41"/>
      <c r="W34" s="41"/>
    </row>
    <row r="35" spans="1:26" x14ac:dyDescent="0.3">
      <c r="A35" s="149">
        <v>8</v>
      </c>
      <c r="B35" t="s">
        <v>227</v>
      </c>
      <c r="C35">
        <v>2</v>
      </c>
      <c r="D35">
        <v>24</v>
      </c>
      <c r="E35" s="150">
        <v>0.53669999999999995</v>
      </c>
      <c r="F35" s="150">
        <v>0.24970000000000001</v>
      </c>
      <c r="G35" s="150">
        <v>0.4572</v>
      </c>
      <c r="H35" s="150">
        <v>0.88180000000000003</v>
      </c>
      <c r="I35" s="150">
        <v>2.1013999999999999</v>
      </c>
      <c r="J35" s="150">
        <v>1.5279</v>
      </c>
      <c r="K35" s="150">
        <v>2.9346999999999999</v>
      </c>
      <c r="L35" s="150">
        <v>7.17E-2</v>
      </c>
      <c r="M35" s="150">
        <v>0.20419999999999999</v>
      </c>
      <c r="N35" s="154">
        <v>7.0999999999999994E-2</v>
      </c>
    </row>
    <row r="36" spans="1:26" x14ac:dyDescent="0.3">
      <c r="A36" s="149">
        <v>9</v>
      </c>
      <c r="B36" t="s">
        <v>228</v>
      </c>
      <c r="C36">
        <v>3</v>
      </c>
      <c r="D36">
        <v>24</v>
      </c>
      <c r="E36" s="150">
        <v>0.48649999999999999</v>
      </c>
      <c r="F36" s="150">
        <v>0.28699999999999998</v>
      </c>
      <c r="G36" s="150">
        <v>0.94479999999999997</v>
      </c>
      <c r="H36" s="150">
        <v>4.4512</v>
      </c>
      <c r="I36" s="150">
        <v>5.8395999999999999</v>
      </c>
      <c r="J36" s="150">
        <v>9.9006000000000007</v>
      </c>
      <c r="K36" s="150">
        <v>5.6529999999999996</v>
      </c>
      <c r="L36" s="150">
        <v>0.10009999999999999</v>
      </c>
      <c r="M36" s="150">
        <v>0.3891</v>
      </c>
      <c r="N36" s="154">
        <v>7.4999999999999997E-2</v>
      </c>
    </row>
    <row r="37" spans="1:26" x14ac:dyDescent="0.3">
      <c r="A37" s="149">
        <v>10</v>
      </c>
      <c r="B37" t="s">
        <v>229</v>
      </c>
      <c r="C37">
        <v>4</v>
      </c>
      <c r="D37">
        <v>24</v>
      </c>
      <c r="E37" s="150">
        <v>0.1424</v>
      </c>
      <c r="F37" s="150">
        <v>9.11E-2</v>
      </c>
      <c r="G37" s="150">
        <v>0.16170000000000001</v>
      </c>
      <c r="H37" s="150">
        <v>2.0238999999999998</v>
      </c>
      <c r="I37" s="150">
        <v>18.111499999999999</v>
      </c>
      <c r="J37" s="150">
        <v>16.455500000000001</v>
      </c>
      <c r="K37" s="150">
        <v>35.088799999999999</v>
      </c>
      <c r="L37" s="150">
        <v>1.0833999999999999</v>
      </c>
      <c r="M37" s="150">
        <v>4.3663999999999996</v>
      </c>
      <c r="N37" s="154">
        <v>0.33</v>
      </c>
    </row>
    <row r="38" spans="1:26" x14ac:dyDescent="0.3">
      <c r="A38" s="149">
        <v>11</v>
      </c>
      <c r="B38" t="s">
        <v>230</v>
      </c>
      <c r="C38">
        <v>1</v>
      </c>
      <c r="D38">
        <v>48</v>
      </c>
      <c r="E38" s="150">
        <v>96.861000000000004</v>
      </c>
      <c r="F38" s="150">
        <v>35.208399999999997</v>
      </c>
      <c r="G38" s="150">
        <v>53.502000000000002</v>
      </c>
      <c r="H38" s="150">
        <v>22.2714</v>
      </c>
      <c r="I38" s="150">
        <v>11.091200000000001</v>
      </c>
      <c r="J38" s="150">
        <v>3.7892000000000001</v>
      </c>
      <c r="K38" s="150">
        <v>6.8063000000000002</v>
      </c>
      <c r="L38" s="150">
        <v>0.70450000000000002</v>
      </c>
      <c r="M38" s="150">
        <v>2.8235999999999999</v>
      </c>
      <c r="N38" s="154">
        <v>0.44</v>
      </c>
    </row>
    <row r="39" spans="1:26" x14ac:dyDescent="0.3">
      <c r="A39" s="149">
        <v>12</v>
      </c>
      <c r="B39" t="s">
        <v>231</v>
      </c>
      <c r="C39">
        <v>2</v>
      </c>
      <c r="D39">
        <v>48</v>
      </c>
      <c r="E39" s="150">
        <v>0.7853</v>
      </c>
      <c r="F39" s="150">
        <v>0.38540000000000002</v>
      </c>
      <c r="G39" s="150">
        <v>0.69840000000000002</v>
      </c>
      <c r="H39" s="150">
        <v>1.2809999999999999</v>
      </c>
      <c r="I39" s="150">
        <v>2.4914000000000001</v>
      </c>
      <c r="J39" s="150">
        <v>2.7410000000000001</v>
      </c>
      <c r="K39" s="150">
        <v>3.1204000000000001</v>
      </c>
      <c r="L39" s="150">
        <v>9.0499999999999997E-2</v>
      </c>
      <c r="M39" s="150">
        <v>0.1908</v>
      </c>
      <c r="N39" s="154">
        <v>0.05</v>
      </c>
    </row>
    <row r="40" spans="1:26" x14ac:dyDescent="0.3">
      <c r="A40" s="149">
        <v>13</v>
      </c>
      <c r="B40" t="s">
        <v>232</v>
      </c>
      <c r="C40">
        <v>3</v>
      </c>
      <c r="D40">
        <v>48</v>
      </c>
      <c r="E40" s="150">
        <v>3.9378000000000002</v>
      </c>
      <c r="F40" s="150">
        <v>1.9479</v>
      </c>
      <c r="G40" s="150">
        <v>5.4227999999999996</v>
      </c>
      <c r="H40" s="150">
        <v>8.2768999999999995</v>
      </c>
      <c r="I40" s="150">
        <v>6.1348000000000003</v>
      </c>
      <c r="J40" s="150">
        <v>2.2342</v>
      </c>
      <c r="K40" s="150">
        <v>3.99</v>
      </c>
      <c r="L40" s="150">
        <v>0.02</v>
      </c>
      <c r="M40" s="150">
        <v>0.27200000000000002</v>
      </c>
      <c r="N40" s="154">
        <v>0.05</v>
      </c>
    </row>
    <row r="41" spans="1:26" x14ac:dyDescent="0.3">
      <c r="A41" s="149">
        <v>14</v>
      </c>
      <c r="B41" t="s">
        <v>233</v>
      </c>
      <c r="C41">
        <v>4</v>
      </c>
      <c r="D41">
        <v>48</v>
      </c>
      <c r="E41" s="150">
        <v>0.2263</v>
      </c>
      <c r="F41" s="150">
        <v>0.1113</v>
      </c>
      <c r="G41" s="150">
        <v>0.37519999999999998</v>
      </c>
      <c r="H41" s="150">
        <v>6.1632999999999996</v>
      </c>
      <c r="I41" s="150">
        <v>38.913800000000002</v>
      </c>
      <c r="J41" s="150">
        <v>26.762899999999998</v>
      </c>
      <c r="K41" s="150">
        <v>55.499200000000002</v>
      </c>
      <c r="L41" s="150">
        <v>2.6852</v>
      </c>
      <c r="M41" s="150">
        <v>5.9443999999999999</v>
      </c>
      <c r="N41" s="154">
        <v>0.47799999999999998</v>
      </c>
    </row>
    <row r="42" spans="1:26" x14ac:dyDescent="0.3">
      <c r="A42" s="149">
        <v>15</v>
      </c>
      <c r="B42" s="47" t="s">
        <v>203</v>
      </c>
      <c r="C42">
        <v>1</v>
      </c>
      <c r="D42" s="156">
        <v>72</v>
      </c>
      <c r="E42" s="150">
        <v>114.6204</v>
      </c>
      <c r="F42" s="150">
        <v>45.093000000000004</v>
      </c>
      <c r="G42" s="150">
        <v>60.557600000000001</v>
      </c>
      <c r="H42" s="150">
        <v>26.4696</v>
      </c>
      <c r="I42" s="150">
        <v>13.357200000000001</v>
      </c>
      <c r="J42" s="150">
        <v>5.05</v>
      </c>
      <c r="K42" s="150">
        <v>8.1326999999999998</v>
      </c>
      <c r="L42" s="150">
        <v>0.34670000000000001</v>
      </c>
      <c r="M42" s="150">
        <v>1.7210000000000001</v>
      </c>
      <c r="N42" s="154">
        <v>0.222</v>
      </c>
    </row>
    <row r="43" spans="1:26" x14ac:dyDescent="0.3">
      <c r="A43" s="149">
        <v>16</v>
      </c>
      <c r="B43" s="47" t="s">
        <v>206</v>
      </c>
      <c r="C43">
        <v>2</v>
      </c>
      <c r="D43" s="156">
        <v>72</v>
      </c>
      <c r="E43" s="150">
        <v>5.5145999999999997</v>
      </c>
      <c r="F43" s="150">
        <v>2.9336000000000002</v>
      </c>
      <c r="G43" s="150">
        <v>4.8742000000000001</v>
      </c>
      <c r="H43" s="150">
        <v>4.8132999999999999</v>
      </c>
      <c r="I43" s="150">
        <v>4.3362999999999996</v>
      </c>
      <c r="J43" s="150">
        <v>2.2772000000000001</v>
      </c>
      <c r="K43" s="150">
        <v>3.7311999999999999</v>
      </c>
      <c r="L43" s="150">
        <v>5.62E-2</v>
      </c>
      <c r="M43" s="150">
        <v>0.1598</v>
      </c>
      <c r="N43" s="151">
        <v>3.09E-2</v>
      </c>
    </row>
    <row r="44" spans="1:26" x14ac:dyDescent="0.3">
      <c r="A44" s="149">
        <v>17</v>
      </c>
      <c r="B44" s="47" t="s">
        <v>207</v>
      </c>
      <c r="C44">
        <v>3</v>
      </c>
      <c r="D44" s="156">
        <v>72</v>
      </c>
      <c r="E44" s="150">
        <v>4.3478000000000003</v>
      </c>
      <c r="F44" s="150">
        <v>2.6751</v>
      </c>
      <c r="G44" s="150">
        <v>6.7180999999999997</v>
      </c>
      <c r="H44" s="150">
        <v>11.802099999999999</v>
      </c>
      <c r="I44" s="150">
        <v>7.3390000000000004</v>
      </c>
      <c r="J44" s="150">
        <v>2.2919</v>
      </c>
      <c r="K44" s="150">
        <v>4.8188000000000004</v>
      </c>
      <c r="L44" s="150">
        <v>3.6999999999999998E-2</v>
      </c>
      <c r="M44" s="150">
        <v>0.16420000000000001</v>
      </c>
      <c r="N44" s="151">
        <v>3.5499999999999997E-2</v>
      </c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</row>
    <row r="45" spans="1:26" x14ac:dyDescent="0.3">
      <c r="A45" s="149">
        <v>18</v>
      </c>
      <c r="B45" s="47" t="s">
        <v>208</v>
      </c>
      <c r="C45">
        <v>1</v>
      </c>
      <c r="D45" s="156">
        <v>96</v>
      </c>
      <c r="E45" s="150">
        <v>94.189800000000005</v>
      </c>
      <c r="F45" s="150">
        <v>34.557499999999997</v>
      </c>
      <c r="G45" s="150">
        <v>41.824199999999998</v>
      </c>
      <c r="H45" s="150">
        <v>12.9847</v>
      </c>
      <c r="I45" s="150">
        <v>4.8057999999999996</v>
      </c>
      <c r="J45" s="150">
        <v>1.73</v>
      </c>
      <c r="K45" s="150">
        <v>2.4016000000000002</v>
      </c>
      <c r="L45" s="150">
        <v>0.1178</v>
      </c>
      <c r="M45" s="150">
        <v>1.0608</v>
      </c>
      <c r="N45" s="151">
        <v>0.18310000000000001</v>
      </c>
    </row>
    <row r="46" spans="1:26" x14ac:dyDescent="0.3">
      <c r="A46" s="149">
        <v>19</v>
      </c>
      <c r="B46" s="47" t="s">
        <v>209</v>
      </c>
      <c r="C46">
        <v>2</v>
      </c>
      <c r="D46" s="156">
        <v>96</v>
      </c>
      <c r="E46" s="150">
        <v>24.271000000000001</v>
      </c>
      <c r="F46" s="150">
        <v>10.991400000000001</v>
      </c>
      <c r="G46" s="150">
        <v>15.8508</v>
      </c>
      <c r="H46" s="150">
        <v>8.2640999999999991</v>
      </c>
      <c r="I46" s="150">
        <v>4.5437000000000003</v>
      </c>
      <c r="J46" s="150">
        <v>1.6035999999999999</v>
      </c>
      <c r="K46" s="150">
        <v>2.5320999999999998</v>
      </c>
      <c r="L46" s="150">
        <v>2.4199999999999999E-2</v>
      </c>
      <c r="M46" s="150">
        <v>0.1244</v>
      </c>
      <c r="N46" s="151">
        <v>3.4099999999999998E-2</v>
      </c>
    </row>
    <row r="47" spans="1:26" x14ac:dyDescent="0.3">
      <c r="A47" s="149">
        <v>20</v>
      </c>
      <c r="B47" s="47" t="s">
        <v>210</v>
      </c>
      <c r="C47">
        <v>3</v>
      </c>
      <c r="D47" s="156">
        <v>96</v>
      </c>
      <c r="E47" s="150">
        <v>12.5687</v>
      </c>
      <c r="F47" s="150">
        <v>6.6787000000000001</v>
      </c>
      <c r="G47" s="150">
        <v>11.190200000000001</v>
      </c>
      <c r="H47" s="150">
        <v>11.0631</v>
      </c>
      <c r="I47" s="150">
        <v>6.8544</v>
      </c>
      <c r="J47" s="150">
        <v>2.2271999999999998</v>
      </c>
      <c r="K47" s="150">
        <v>3.6739000000000002</v>
      </c>
      <c r="L47" s="150">
        <v>1.8700000000000001E-2</v>
      </c>
      <c r="M47" s="150">
        <v>0.15959999999999999</v>
      </c>
      <c r="N47" s="151">
        <v>5.1900000000000002E-2</v>
      </c>
    </row>
    <row r="48" spans="1:26" x14ac:dyDescent="0.3">
      <c r="A48" s="149">
        <v>21</v>
      </c>
      <c r="B48" s="47" t="s">
        <v>211</v>
      </c>
      <c r="C48">
        <v>1</v>
      </c>
      <c r="D48" s="156">
        <v>120</v>
      </c>
      <c r="E48" s="150">
        <v>80.533199999999994</v>
      </c>
      <c r="F48" s="150">
        <v>31.295300000000001</v>
      </c>
      <c r="G48" s="150">
        <v>37.237400000000001</v>
      </c>
      <c r="H48" s="150">
        <v>11.063499999999999</v>
      </c>
      <c r="I48" s="150">
        <v>3.6568999999999998</v>
      </c>
      <c r="J48" s="150">
        <v>1.1278999999999999</v>
      </c>
      <c r="K48" s="150">
        <v>1.5469999999999999</v>
      </c>
      <c r="L48" s="150">
        <v>6.1199999999999997E-2</v>
      </c>
      <c r="M48" s="150">
        <v>0.60440000000000005</v>
      </c>
      <c r="N48" s="151">
        <v>0.17460000000000001</v>
      </c>
    </row>
    <row r="49" spans="1:26" x14ac:dyDescent="0.3">
      <c r="A49" s="149">
        <v>22</v>
      </c>
      <c r="B49" s="47" t="s">
        <v>212</v>
      </c>
      <c r="C49">
        <v>2</v>
      </c>
      <c r="D49" s="156">
        <v>120</v>
      </c>
      <c r="E49" s="150">
        <v>28.323699999999999</v>
      </c>
      <c r="F49" s="150">
        <v>12.8108</v>
      </c>
      <c r="G49" s="150">
        <v>18.2622</v>
      </c>
      <c r="H49" s="150">
        <v>8.3612000000000002</v>
      </c>
      <c r="I49" s="150">
        <v>3.6046999999999998</v>
      </c>
      <c r="J49" s="150">
        <v>1.0630999999999999</v>
      </c>
      <c r="K49" s="150">
        <v>1.6005</v>
      </c>
      <c r="L49" s="150">
        <v>2.8400000000000002E-2</v>
      </c>
      <c r="M49" s="150">
        <v>9.5100000000000004E-2</v>
      </c>
      <c r="N49" s="151">
        <v>3.9899999999999998E-2</v>
      </c>
    </row>
    <row r="50" spans="1:26" x14ac:dyDescent="0.3">
      <c r="A50" s="149">
        <v>23</v>
      </c>
      <c r="B50" s="47" t="s">
        <v>213</v>
      </c>
      <c r="C50">
        <v>3</v>
      </c>
      <c r="D50" s="156">
        <v>120</v>
      </c>
      <c r="E50" s="150">
        <v>15.2796</v>
      </c>
      <c r="F50" s="150">
        <v>7.2111999999999998</v>
      </c>
      <c r="G50" s="150">
        <v>13.041</v>
      </c>
      <c r="H50" s="150">
        <v>11.900700000000001</v>
      </c>
      <c r="I50" s="150">
        <v>6.9429999999999996</v>
      </c>
      <c r="J50" s="150">
        <v>2.2543000000000002</v>
      </c>
      <c r="K50" s="150">
        <v>4.0551000000000004</v>
      </c>
      <c r="L50" s="150">
        <v>4.8000000000000001E-2</v>
      </c>
      <c r="M50" s="150">
        <v>0.22789999999999999</v>
      </c>
      <c r="N50" s="151">
        <v>5.4199999999999998E-2</v>
      </c>
    </row>
    <row r="51" spans="1:26" x14ac:dyDescent="0.3">
      <c r="A51" s="149">
        <v>24</v>
      </c>
      <c r="B51" s="47" t="s">
        <v>214</v>
      </c>
      <c r="C51">
        <v>1</v>
      </c>
      <c r="D51" s="156" t="s">
        <v>234</v>
      </c>
      <c r="E51" s="150">
        <v>80.232100000000003</v>
      </c>
      <c r="F51" s="150">
        <v>30.706499999999998</v>
      </c>
      <c r="G51" s="150">
        <v>37.911900000000003</v>
      </c>
      <c r="H51" s="150">
        <v>11.4373</v>
      </c>
      <c r="I51" s="150">
        <v>3.8119000000000001</v>
      </c>
      <c r="J51" s="150">
        <v>1.3105</v>
      </c>
      <c r="K51" s="150">
        <v>1.7070000000000001</v>
      </c>
      <c r="L51" s="150">
        <v>0.1817</v>
      </c>
      <c r="M51" s="150">
        <v>1.5492999999999999</v>
      </c>
      <c r="N51" s="151">
        <v>0.1968</v>
      </c>
    </row>
    <row r="52" spans="1:26" x14ac:dyDescent="0.3">
      <c r="A52" s="149">
        <v>25</v>
      </c>
      <c r="B52" s="47" t="s">
        <v>215</v>
      </c>
      <c r="C52">
        <v>2</v>
      </c>
      <c r="D52" s="156" t="s">
        <v>234</v>
      </c>
      <c r="E52" s="150">
        <v>27.177199999999999</v>
      </c>
      <c r="F52" s="150">
        <v>12.3825</v>
      </c>
      <c r="G52" s="150">
        <v>17.379300000000001</v>
      </c>
      <c r="H52" s="150">
        <v>7.9029999999999996</v>
      </c>
      <c r="I52" s="150">
        <v>3.2793000000000001</v>
      </c>
      <c r="J52" s="150">
        <v>1.1456999999999999</v>
      </c>
      <c r="K52" s="150">
        <v>1.6328</v>
      </c>
      <c r="L52" s="150">
        <v>2.7400000000000001E-2</v>
      </c>
      <c r="M52" s="150">
        <v>0.1338</v>
      </c>
      <c r="N52" s="151">
        <v>4.7899999999999998E-2</v>
      </c>
    </row>
    <row r="53" spans="1:26" x14ac:dyDescent="0.3">
      <c r="A53" s="149">
        <v>26</v>
      </c>
      <c r="B53" s="47" t="s">
        <v>216</v>
      </c>
      <c r="C53">
        <v>3</v>
      </c>
      <c r="D53" s="156" t="s">
        <v>234</v>
      </c>
      <c r="E53" s="150">
        <v>14.616199999999999</v>
      </c>
      <c r="F53" s="150">
        <v>7.2335000000000003</v>
      </c>
      <c r="G53" s="150">
        <v>12.299799999999999</v>
      </c>
      <c r="H53" s="150">
        <v>11.4664</v>
      </c>
      <c r="I53" s="150">
        <v>7.1974</v>
      </c>
      <c r="J53" s="150">
        <v>2.2955000000000001</v>
      </c>
      <c r="K53" s="150">
        <v>3.9908999999999999</v>
      </c>
      <c r="L53" s="150" t="s">
        <v>205</v>
      </c>
      <c r="M53" s="150">
        <v>0.1303</v>
      </c>
      <c r="N53" s="151">
        <v>4.24E-2</v>
      </c>
    </row>
    <row r="54" spans="1:26" x14ac:dyDescent="0.3">
      <c r="C54" s="157" t="s">
        <v>235</v>
      </c>
      <c r="D54" s="77"/>
      <c r="E54" s="158">
        <v>147.2449</v>
      </c>
      <c r="F54" s="158">
        <v>58.227800000000002</v>
      </c>
      <c r="G54" s="158">
        <v>88.134100000000004</v>
      </c>
      <c r="H54" s="158">
        <v>53.589700000000001</v>
      </c>
      <c r="I54" s="158">
        <v>56.253700000000002</v>
      </c>
      <c r="J54" s="158">
        <v>43.410600000000002</v>
      </c>
      <c r="K54" s="158">
        <v>59.822499999999998</v>
      </c>
      <c r="L54" s="158">
        <v>5.9836999999999998</v>
      </c>
      <c r="M54" s="158">
        <v>2.3058000000000001</v>
      </c>
      <c r="N54" s="159">
        <v>1.8069999999999999</v>
      </c>
    </row>
    <row r="55" spans="1:26" x14ac:dyDescent="0.3">
      <c r="A55" t="s">
        <v>93</v>
      </c>
      <c r="B55" s="77" t="s">
        <v>240</v>
      </c>
      <c r="C55" s="143" t="s">
        <v>54</v>
      </c>
      <c r="D55" s="143" t="s">
        <v>49</v>
      </c>
      <c r="E55" s="143" t="s">
        <v>52</v>
      </c>
      <c r="F55" s="143" t="s">
        <v>53</v>
      </c>
      <c r="G55" s="143" t="s">
        <v>55</v>
      </c>
      <c r="H55" s="143" t="s">
        <v>72</v>
      </c>
      <c r="I55" s="143" t="s">
        <v>50</v>
      </c>
      <c r="J55" s="143" t="s">
        <v>51</v>
      </c>
      <c r="K55" s="143" t="s">
        <v>58</v>
      </c>
      <c r="L55" s="143" t="s">
        <v>57</v>
      </c>
      <c r="M55" s="30" t="s">
        <v>239</v>
      </c>
      <c r="N55" s="160" t="s">
        <v>54</v>
      </c>
      <c r="O55" s="160" t="s">
        <v>49</v>
      </c>
      <c r="P55" s="160" t="s">
        <v>52</v>
      </c>
      <c r="Q55" s="160" t="s">
        <v>53</v>
      </c>
      <c r="R55" s="160" t="s">
        <v>55</v>
      </c>
      <c r="S55" s="160" t="s">
        <v>72</v>
      </c>
      <c r="T55" s="160" t="s">
        <v>50</v>
      </c>
      <c r="U55" s="160" t="s">
        <v>51</v>
      </c>
      <c r="V55" s="160" t="s">
        <v>58</v>
      </c>
      <c r="W55" s="160" t="s">
        <v>57</v>
      </c>
    </row>
    <row r="56" spans="1:26" x14ac:dyDescent="0.3">
      <c r="B56">
        <v>1</v>
      </c>
      <c r="C56" s="150">
        <v>86.509699999999995</v>
      </c>
      <c r="D56" s="150">
        <v>40.124000000000002</v>
      </c>
      <c r="E56" s="150">
        <v>49.863300000000002</v>
      </c>
      <c r="F56" s="150">
        <v>30.107099999999999</v>
      </c>
      <c r="G56" s="150">
        <v>30.387899999999998</v>
      </c>
      <c r="H56" s="150">
        <v>15.0289</v>
      </c>
      <c r="I56" s="150">
        <v>35.724699999999999</v>
      </c>
      <c r="J56" s="150">
        <v>3.4485999999999999</v>
      </c>
      <c r="K56" s="150">
        <v>3.6848999999999998</v>
      </c>
      <c r="L56" s="154">
        <v>0.93700000000000006</v>
      </c>
      <c r="M56">
        <v>1</v>
      </c>
      <c r="N56" s="57">
        <f>C56/E$54</f>
        <v>0.58752255595949332</v>
      </c>
      <c r="O56" s="57">
        <f t="shared" ref="O56:W62" si="0">D56/F$54</f>
        <v>0.68908665620202036</v>
      </c>
      <c r="P56" s="57">
        <f t="shared" si="0"/>
        <v>0.56576625846295592</v>
      </c>
      <c r="Q56" s="57">
        <f t="shared" si="0"/>
        <v>0.56180758615928061</v>
      </c>
      <c r="R56" s="57">
        <f t="shared" si="0"/>
        <v>0.54019380058556143</v>
      </c>
      <c r="S56" s="57">
        <f t="shared" si="0"/>
        <v>0.34620346182729561</v>
      </c>
      <c r="T56" s="57">
        <f t="shared" si="0"/>
        <v>0.5971783191942831</v>
      </c>
      <c r="U56" s="57">
        <f t="shared" si="0"/>
        <v>0.57633236960409107</v>
      </c>
      <c r="V56" s="57">
        <f t="shared" si="0"/>
        <v>1.5981004423627374</v>
      </c>
      <c r="W56" s="57">
        <f>L56/N$54</f>
        <v>0.5185390149418927</v>
      </c>
    </row>
    <row r="57" spans="1:26" x14ac:dyDescent="0.3">
      <c r="B57">
        <v>24</v>
      </c>
      <c r="C57" s="150">
        <v>122.45780000000001</v>
      </c>
      <c r="D57" s="150">
        <v>37.3093</v>
      </c>
      <c r="E57" s="150">
        <v>67.696799999999996</v>
      </c>
      <c r="F57" s="150">
        <v>36.4024</v>
      </c>
      <c r="G57" s="150">
        <v>21.9742</v>
      </c>
      <c r="H57" s="150">
        <v>9.9884000000000004</v>
      </c>
      <c r="I57" s="150">
        <v>18.11</v>
      </c>
      <c r="J57" s="150">
        <v>1.8038000000000001</v>
      </c>
      <c r="K57" s="150">
        <v>8.8164999999999996</v>
      </c>
      <c r="L57" s="154">
        <v>0.84</v>
      </c>
      <c r="M57">
        <v>24</v>
      </c>
      <c r="N57" s="57">
        <f t="shared" ref="N57:N62" si="1">C57/E$54</f>
        <v>0.83166072305390548</v>
      </c>
      <c r="O57" s="57">
        <f t="shared" si="0"/>
        <v>0.64074720322595047</v>
      </c>
      <c r="P57" s="57">
        <f t="shared" si="0"/>
        <v>0.76811132127065451</v>
      </c>
      <c r="Q57" s="57">
        <f t="shared" si="0"/>
        <v>0.67927978697398939</v>
      </c>
      <c r="R57" s="57">
        <f t="shared" si="0"/>
        <v>0.39062674988489643</v>
      </c>
      <c r="S57" s="57">
        <f t="shared" si="0"/>
        <v>0.23009126803131033</v>
      </c>
      <c r="T57" s="57">
        <f t="shared" si="0"/>
        <v>0.30272890634794603</v>
      </c>
      <c r="U57" s="57">
        <f t="shared" si="0"/>
        <v>0.30145227869044239</v>
      </c>
      <c r="V57" s="57">
        <f t="shared" si="0"/>
        <v>3.8236187006678808</v>
      </c>
      <c r="W57" s="57">
        <f t="shared" si="0"/>
        <v>0.46485888212506915</v>
      </c>
    </row>
    <row r="58" spans="1:26" x14ac:dyDescent="0.3">
      <c r="A58" s="140"/>
      <c r="B58">
        <v>48</v>
      </c>
      <c r="C58" s="150">
        <v>96.861000000000004</v>
      </c>
      <c r="D58" s="150">
        <v>35.208399999999997</v>
      </c>
      <c r="E58" s="150">
        <v>53.502000000000002</v>
      </c>
      <c r="F58" s="150">
        <v>22.2714</v>
      </c>
      <c r="G58" s="150">
        <v>11.091200000000001</v>
      </c>
      <c r="H58" s="150">
        <v>3.7892000000000001</v>
      </c>
      <c r="I58" s="150">
        <v>6.8063000000000002</v>
      </c>
      <c r="J58" s="150">
        <v>0.70450000000000002</v>
      </c>
      <c r="K58" s="150">
        <v>2.8235999999999999</v>
      </c>
      <c r="L58" s="154">
        <v>0.44</v>
      </c>
      <c r="M58">
        <v>48</v>
      </c>
      <c r="N58" s="57">
        <f t="shared" si="1"/>
        <v>0.65782244410502511</v>
      </c>
      <c r="O58" s="57">
        <f t="shared" si="0"/>
        <v>0.60466649950710827</v>
      </c>
      <c r="P58" s="57">
        <f t="shared" si="0"/>
        <v>0.60705220794221537</v>
      </c>
      <c r="Q58" s="57">
        <f t="shared" si="0"/>
        <v>0.41559105574392091</v>
      </c>
      <c r="R58" s="57">
        <f t="shared" si="0"/>
        <v>0.19716391988438095</v>
      </c>
      <c r="S58" s="57">
        <f t="shared" si="0"/>
        <v>8.7287436709006558E-2</v>
      </c>
      <c r="T58" s="57">
        <f t="shared" si="0"/>
        <v>0.11377491746416483</v>
      </c>
      <c r="U58" s="57">
        <f t="shared" si="0"/>
        <v>0.11773651753931515</v>
      </c>
      <c r="V58" s="57">
        <f t="shared" si="0"/>
        <v>1.2245641425969294</v>
      </c>
      <c r="W58" s="57">
        <f t="shared" si="0"/>
        <v>0.24349750968456005</v>
      </c>
      <c r="X58" s="140"/>
      <c r="Y58" s="140"/>
      <c r="Z58" s="140"/>
    </row>
    <row r="59" spans="1:26" x14ac:dyDescent="0.3">
      <c r="B59" s="156">
        <v>72</v>
      </c>
      <c r="C59" s="150">
        <v>114.6204</v>
      </c>
      <c r="D59" s="150">
        <v>45.093000000000004</v>
      </c>
      <c r="E59" s="150">
        <v>60.557600000000001</v>
      </c>
      <c r="F59" s="150">
        <v>26.4696</v>
      </c>
      <c r="G59" s="150">
        <v>13.357200000000001</v>
      </c>
      <c r="H59" s="150">
        <v>5.05</v>
      </c>
      <c r="I59" s="150">
        <v>8.1326999999999998</v>
      </c>
      <c r="J59" s="150">
        <v>0.34670000000000001</v>
      </c>
      <c r="K59" s="150">
        <v>1.7210000000000001</v>
      </c>
      <c r="L59" s="150">
        <v>0.26150000000000001</v>
      </c>
      <c r="M59" s="156">
        <v>72</v>
      </c>
      <c r="N59" s="57">
        <f t="shared" si="1"/>
        <v>0.77843375220466038</v>
      </c>
      <c r="O59" s="57">
        <f t="shared" si="0"/>
        <v>0.77442390061104838</v>
      </c>
      <c r="P59" s="57">
        <f t="shared" si="0"/>
        <v>0.68710748734031435</v>
      </c>
      <c r="Q59" s="57">
        <f t="shared" si="0"/>
        <v>0.49393073669007292</v>
      </c>
      <c r="R59" s="57">
        <f t="shared" si="0"/>
        <v>0.23744571468187869</v>
      </c>
      <c r="S59" s="57">
        <f t="shared" si="0"/>
        <v>0.11633103435566428</v>
      </c>
      <c r="T59" s="57">
        <f t="shared" si="0"/>
        <v>0.1359471770654854</v>
      </c>
      <c r="U59" s="57">
        <f t="shared" si="0"/>
        <v>5.7940739007637417E-2</v>
      </c>
      <c r="V59" s="57">
        <f t="shared" si="0"/>
        <v>0.74637869719836936</v>
      </c>
      <c r="W59" s="57">
        <f t="shared" si="0"/>
        <v>0.14471499723298287</v>
      </c>
    </row>
    <row r="60" spans="1:26" x14ac:dyDescent="0.3">
      <c r="B60" s="156">
        <v>96</v>
      </c>
      <c r="C60" s="150">
        <v>94.189800000000005</v>
      </c>
      <c r="D60" s="150">
        <v>34.557499999999997</v>
      </c>
      <c r="E60" s="150">
        <v>41.824199999999998</v>
      </c>
      <c r="F60" s="150">
        <v>12.9847</v>
      </c>
      <c r="G60" s="150">
        <v>4.8057999999999996</v>
      </c>
      <c r="H60" s="150">
        <v>1.73</v>
      </c>
      <c r="I60" s="150">
        <v>2.4016000000000002</v>
      </c>
      <c r="J60" s="150">
        <v>0.1178</v>
      </c>
      <c r="K60" s="150">
        <v>1.0608</v>
      </c>
      <c r="L60" s="150">
        <v>0.18310000000000001</v>
      </c>
      <c r="M60" s="156">
        <v>96</v>
      </c>
      <c r="N60" s="57">
        <f t="shared" si="1"/>
        <v>0.6396812385352566</v>
      </c>
      <c r="O60" s="57">
        <f t="shared" si="0"/>
        <v>0.5934879902726875</v>
      </c>
      <c r="P60" s="57">
        <f t="shared" si="0"/>
        <v>0.47455184769572728</v>
      </c>
      <c r="Q60" s="57">
        <f t="shared" si="0"/>
        <v>0.2422984267499165</v>
      </c>
      <c r="R60" s="57">
        <f t="shared" si="0"/>
        <v>8.5430824994622567E-2</v>
      </c>
      <c r="S60" s="57">
        <f t="shared" si="0"/>
        <v>3.985201770996024E-2</v>
      </c>
      <c r="T60" s="57">
        <f t="shared" si="0"/>
        <v>4.0145430231100343E-2</v>
      </c>
      <c r="U60" s="57">
        <f t="shared" si="0"/>
        <v>1.9686815849725089E-2</v>
      </c>
      <c r="V60" s="57">
        <f t="shared" si="0"/>
        <v>0.46005724694249284</v>
      </c>
      <c r="W60" s="57">
        <f t="shared" si="0"/>
        <v>0.10132816823464307</v>
      </c>
    </row>
    <row r="61" spans="1:26" x14ac:dyDescent="0.3">
      <c r="B61" s="156">
        <v>120</v>
      </c>
      <c r="C61" s="150">
        <v>80.533199999999994</v>
      </c>
      <c r="D61" s="150">
        <v>31.295300000000001</v>
      </c>
      <c r="E61" s="150">
        <v>37.237400000000001</v>
      </c>
      <c r="F61" s="150">
        <v>11.063499999999999</v>
      </c>
      <c r="G61" s="150">
        <v>3.6568999999999998</v>
      </c>
      <c r="H61" s="150">
        <v>1.1278999999999999</v>
      </c>
      <c r="I61" s="150">
        <v>1.5469999999999999</v>
      </c>
      <c r="J61" s="150">
        <v>6.1199999999999997E-2</v>
      </c>
      <c r="K61" s="150">
        <v>0.60440000000000005</v>
      </c>
      <c r="L61" s="150">
        <v>0.17460000000000001</v>
      </c>
      <c r="M61" s="156">
        <v>120</v>
      </c>
      <c r="N61" s="57">
        <f t="shared" si="1"/>
        <v>0.54693371383321254</v>
      </c>
      <c r="O61" s="57">
        <f t="shared" si="0"/>
        <v>0.53746320486090837</v>
      </c>
      <c r="P61" s="57">
        <f t="shared" si="0"/>
        <v>0.4225084274985505</v>
      </c>
      <c r="Q61" s="57">
        <f t="shared" si="0"/>
        <v>0.20644825404881906</v>
      </c>
      <c r="R61" s="57">
        <f t="shared" si="0"/>
        <v>6.5007279521169262E-2</v>
      </c>
      <c r="S61" s="57">
        <f t="shared" si="0"/>
        <v>2.5982133395990838E-2</v>
      </c>
      <c r="T61" s="57">
        <f t="shared" si="0"/>
        <v>2.5859835346232603E-2</v>
      </c>
      <c r="U61" s="57">
        <f t="shared" si="0"/>
        <v>1.0227785483897923E-2</v>
      </c>
      <c r="V61" s="57">
        <f t="shared" si="0"/>
        <v>0.26212160638390147</v>
      </c>
      <c r="W61" s="57">
        <f t="shared" si="0"/>
        <v>9.6624239070282239E-2</v>
      </c>
    </row>
    <row r="62" spans="1:26" x14ac:dyDescent="0.3">
      <c r="B62" s="156" t="s">
        <v>234</v>
      </c>
      <c r="C62" s="150">
        <v>80.232100000000003</v>
      </c>
      <c r="D62" s="150">
        <v>30.706499999999998</v>
      </c>
      <c r="E62" s="150">
        <v>37.911900000000003</v>
      </c>
      <c r="F62" s="150">
        <v>11.4373</v>
      </c>
      <c r="G62" s="150">
        <v>3.8119000000000001</v>
      </c>
      <c r="H62" s="150">
        <v>1.3105</v>
      </c>
      <c r="I62" s="150">
        <v>1.7070000000000001</v>
      </c>
      <c r="J62" s="150">
        <v>0.1817</v>
      </c>
      <c r="K62" s="150">
        <v>1.5492999999999999</v>
      </c>
      <c r="L62" s="151">
        <v>0.1968</v>
      </c>
      <c r="M62" s="156" t="s">
        <v>234</v>
      </c>
      <c r="N62" s="57">
        <f t="shared" si="1"/>
        <v>0.54488882127666227</v>
      </c>
      <c r="O62" s="57">
        <f t="shared" si="0"/>
        <v>0.52735119650751017</v>
      </c>
      <c r="P62" s="57">
        <f t="shared" si="0"/>
        <v>0.43016153792913303</v>
      </c>
      <c r="Q62" s="57">
        <f t="shared" si="0"/>
        <v>0.21342347503344861</v>
      </c>
      <c r="R62" s="57">
        <f t="shared" si="0"/>
        <v>6.7762653834325559E-2</v>
      </c>
      <c r="S62" s="57">
        <f t="shared" si="0"/>
        <v>3.0188479311504562E-2</v>
      </c>
      <c r="T62" s="57">
        <f t="shared" si="0"/>
        <v>2.8534414308997454E-2</v>
      </c>
      <c r="U62" s="57">
        <f t="shared" si="0"/>
        <v>3.0365827163794979E-2</v>
      </c>
      <c r="V62" s="57">
        <f t="shared" si="0"/>
        <v>0.67191430306184396</v>
      </c>
      <c r="W62" s="57">
        <f t="shared" si="0"/>
        <v>0.10890979524073049</v>
      </c>
    </row>
    <row r="64" spans="1:26" x14ac:dyDescent="0.3">
      <c r="A64" t="s">
        <v>144</v>
      </c>
      <c r="B64" s="77" t="s">
        <v>240</v>
      </c>
      <c r="C64" s="143" t="s">
        <v>54</v>
      </c>
      <c r="D64" s="143" t="s">
        <v>49</v>
      </c>
      <c r="E64" s="143" t="s">
        <v>52</v>
      </c>
      <c r="F64" s="143" t="s">
        <v>53</v>
      </c>
      <c r="G64" s="143" t="s">
        <v>55</v>
      </c>
      <c r="H64" s="143" t="s">
        <v>72</v>
      </c>
      <c r="I64" s="143" t="s">
        <v>50</v>
      </c>
      <c r="J64" s="143" t="s">
        <v>51</v>
      </c>
      <c r="K64" s="143" t="s">
        <v>58</v>
      </c>
      <c r="L64" s="143" t="s">
        <v>57</v>
      </c>
      <c r="M64" s="30" t="s">
        <v>239</v>
      </c>
      <c r="N64" s="160" t="s">
        <v>54</v>
      </c>
      <c r="O64" s="160" t="s">
        <v>49</v>
      </c>
      <c r="P64" s="160" t="s">
        <v>52</v>
      </c>
      <c r="Q64" s="160" t="s">
        <v>53</v>
      </c>
      <c r="R64" s="160" t="s">
        <v>55</v>
      </c>
      <c r="S64" s="160" t="s">
        <v>72</v>
      </c>
      <c r="T64" s="160" t="s">
        <v>50</v>
      </c>
      <c r="U64" s="160" t="s">
        <v>51</v>
      </c>
      <c r="V64" s="160" t="s">
        <v>58</v>
      </c>
      <c r="W64" s="160" t="s">
        <v>57</v>
      </c>
    </row>
    <row r="65" spans="1:23" x14ac:dyDescent="0.3">
      <c r="B65">
        <v>1</v>
      </c>
      <c r="C65" s="150">
        <v>0.51790000000000003</v>
      </c>
      <c r="D65" s="150">
        <v>0.21510000000000001</v>
      </c>
      <c r="E65" s="150">
        <v>0.32140000000000002</v>
      </c>
      <c r="F65" s="150">
        <v>0.26419999999999999</v>
      </c>
      <c r="G65" s="150">
        <v>0.21010000000000001</v>
      </c>
      <c r="H65" s="150">
        <v>0.16739999999999999</v>
      </c>
      <c r="I65" s="150">
        <v>0.31879999999999997</v>
      </c>
      <c r="J65" s="150">
        <v>0.02</v>
      </c>
      <c r="K65" s="150">
        <v>7.7799999999999994E-2</v>
      </c>
      <c r="L65" s="154">
        <v>0.05</v>
      </c>
      <c r="M65">
        <v>1</v>
      </c>
      <c r="N65" s="57">
        <f>C65/E$54</f>
        <v>3.5172695285201729E-3</v>
      </c>
      <c r="O65" s="57">
        <f t="shared" ref="O65:W71" si="2">D65/F$54</f>
        <v>3.6941117473097045E-3</v>
      </c>
      <c r="P65" s="57">
        <f t="shared" si="2"/>
        <v>3.6467156299321147E-3</v>
      </c>
      <c r="Q65" s="57">
        <f t="shared" si="2"/>
        <v>4.9300518569799787E-3</v>
      </c>
      <c r="R65" s="57">
        <f t="shared" si="2"/>
        <v>3.7348654399621713E-3</v>
      </c>
      <c r="S65" s="57">
        <f t="shared" si="2"/>
        <v>3.8562010200273661E-3</v>
      </c>
      <c r="T65" s="57">
        <f t="shared" si="2"/>
        <v>5.329098583308955E-3</v>
      </c>
      <c r="U65" s="57">
        <f t="shared" si="2"/>
        <v>3.3424135568293867E-3</v>
      </c>
      <c r="V65" s="57">
        <f t="shared" si="2"/>
        <v>3.3741000954115703E-2</v>
      </c>
      <c r="W65" s="57">
        <f t="shared" si="2"/>
        <v>2.7670171555063645E-2</v>
      </c>
    </row>
    <row r="66" spans="1:23" x14ac:dyDescent="0.3">
      <c r="B66">
        <v>24</v>
      </c>
      <c r="C66" s="150">
        <v>0.53669999999999995</v>
      </c>
      <c r="D66" s="150">
        <v>0.24970000000000001</v>
      </c>
      <c r="E66" s="150">
        <v>0.4572</v>
      </c>
      <c r="F66" s="150">
        <v>0.88180000000000003</v>
      </c>
      <c r="G66" s="150">
        <v>2.1013999999999999</v>
      </c>
      <c r="H66" s="150">
        <v>1.5279</v>
      </c>
      <c r="I66" s="150">
        <v>2.9346999999999999</v>
      </c>
      <c r="J66" s="150">
        <v>7.17E-2</v>
      </c>
      <c r="K66" s="150">
        <v>0.20419999999999999</v>
      </c>
      <c r="L66" s="154">
        <v>7.0999999999999994E-2</v>
      </c>
      <c r="M66">
        <v>24</v>
      </c>
      <c r="N66" s="57">
        <f t="shared" ref="N66:N71" si="3">C66/E$54</f>
        <v>3.6449479744289953E-3</v>
      </c>
      <c r="O66" s="57">
        <f t="shared" si="2"/>
        <v>4.2883296294896935E-3</v>
      </c>
      <c r="P66" s="57">
        <f t="shared" si="2"/>
        <v>5.1875494275201084E-3</v>
      </c>
      <c r="Q66" s="57">
        <f t="shared" si="2"/>
        <v>1.6454654532494117E-2</v>
      </c>
      <c r="R66" s="57">
        <f t="shared" si="2"/>
        <v>3.7355765043010504E-2</v>
      </c>
      <c r="S66" s="57">
        <f t="shared" si="2"/>
        <v>3.5196472750894943E-2</v>
      </c>
      <c r="T66" s="57">
        <f t="shared" si="2"/>
        <v>4.9056793012662456E-2</v>
      </c>
      <c r="U66" s="57">
        <f t="shared" si="2"/>
        <v>1.1982552601233352E-2</v>
      </c>
      <c r="V66" s="57">
        <f t="shared" si="2"/>
        <v>8.8559285280596756E-2</v>
      </c>
      <c r="W66" s="57">
        <f t="shared" si="2"/>
        <v>3.9291643608190367E-2</v>
      </c>
    </row>
    <row r="67" spans="1:23" x14ac:dyDescent="0.3">
      <c r="B67">
        <v>48</v>
      </c>
      <c r="C67" s="150">
        <v>0.7853</v>
      </c>
      <c r="D67" s="150">
        <v>0.38540000000000002</v>
      </c>
      <c r="E67" s="150">
        <v>0.69840000000000002</v>
      </c>
      <c r="F67" s="150">
        <v>1.2809999999999999</v>
      </c>
      <c r="G67" s="150">
        <v>2.4914000000000001</v>
      </c>
      <c r="H67" s="150">
        <v>2.7410000000000001</v>
      </c>
      <c r="I67" s="150">
        <v>3.1204000000000001</v>
      </c>
      <c r="J67" s="150">
        <v>9.0499999999999997E-2</v>
      </c>
      <c r="K67" s="150">
        <v>0.1908</v>
      </c>
      <c r="L67" s="154">
        <v>0.05</v>
      </c>
      <c r="M67">
        <v>48</v>
      </c>
      <c r="N67" s="57">
        <f t="shared" si="3"/>
        <v>5.3332916793722568E-3</v>
      </c>
      <c r="O67" s="57">
        <f t="shared" si="2"/>
        <v>6.6188315546869365E-3</v>
      </c>
      <c r="P67" s="57">
        <f t="shared" si="2"/>
        <v>7.924288101881111E-3</v>
      </c>
      <c r="Q67" s="57">
        <f t="shared" si="2"/>
        <v>2.3903847194516856E-2</v>
      </c>
      <c r="R67" s="57">
        <f t="shared" si="2"/>
        <v>4.4288642347081172E-2</v>
      </c>
      <c r="S67" s="57">
        <f t="shared" si="2"/>
        <v>6.3141260429480359E-2</v>
      </c>
      <c r="T67" s="57">
        <f t="shared" si="2"/>
        <v>5.216097622132141E-2</v>
      </c>
      <c r="U67" s="57">
        <f t="shared" si="2"/>
        <v>1.5124421344652974E-2</v>
      </c>
      <c r="V67" s="57">
        <f t="shared" si="2"/>
        <v>8.2747853239656513E-2</v>
      </c>
      <c r="W67" s="57">
        <f t="shared" si="2"/>
        <v>2.7670171555063645E-2</v>
      </c>
    </row>
    <row r="68" spans="1:23" x14ac:dyDescent="0.3">
      <c r="B68" s="156">
        <v>72</v>
      </c>
      <c r="C68" s="150">
        <v>5.5145999999999997</v>
      </c>
      <c r="D68" s="150">
        <v>2.9336000000000002</v>
      </c>
      <c r="E68" s="150">
        <v>4.8742000000000001</v>
      </c>
      <c r="F68" s="150">
        <v>4.8132999999999999</v>
      </c>
      <c r="G68" s="150">
        <v>4.3362999999999996</v>
      </c>
      <c r="H68" s="150">
        <v>2.2772000000000001</v>
      </c>
      <c r="I68" s="150">
        <v>3.7311999999999999</v>
      </c>
      <c r="J68" s="150">
        <v>5.62E-2</v>
      </c>
      <c r="K68" s="150">
        <v>0.1598</v>
      </c>
      <c r="L68" s="161">
        <v>3.09E-2</v>
      </c>
      <c r="M68" s="156">
        <v>72</v>
      </c>
      <c r="N68" s="57">
        <f t="shared" si="3"/>
        <v>3.7451891372808153E-2</v>
      </c>
      <c r="O68" s="57">
        <f t="shared" si="2"/>
        <v>5.0381432923792414E-2</v>
      </c>
      <c r="P68" s="57">
        <f t="shared" si="2"/>
        <v>5.5304360060407946E-2</v>
      </c>
      <c r="Q68" s="57">
        <f t="shared" si="2"/>
        <v>8.9817632866017155E-2</v>
      </c>
      <c r="R68" s="57">
        <f t="shared" si="2"/>
        <v>7.7084707317029807E-2</v>
      </c>
      <c r="S68" s="57">
        <f t="shared" si="2"/>
        <v>5.2457233947469054E-2</v>
      </c>
      <c r="T68" s="57">
        <f t="shared" si="2"/>
        <v>6.2371181411676212E-2</v>
      </c>
      <c r="U68" s="57">
        <f t="shared" si="2"/>
        <v>9.3921820946905772E-3</v>
      </c>
      <c r="V68" s="57">
        <f t="shared" si="2"/>
        <v>6.9303495533003731E-2</v>
      </c>
      <c r="W68" s="57">
        <f t="shared" si="2"/>
        <v>1.7100166021029331E-2</v>
      </c>
    </row>
    <row r="69" spans="1:23" x14ac:dyDescent="0.3">
      <c r="B69" s="156">
        <v>96</v>
      </c>
      <c r="C69" s="150">
        <v>24.271000000000001</v>
      </c>
      <c r="D69" s="150">
        <v>10.991400000000001</v>
      </c>
      <c r="E69" s="150">
        <v>15.8508</v>
      </c>
      <c r="F69" s="150">
        <v>8.2640999999999991</v>
      </c>
      <c r="G69" s="150">
        <v>4.5437000000000003</v>
      </c>
      <c r="H69" s="150">
        <v>1.6035999999999999</v>
      </c>
      <c r="I69" s="150">
        <v>2.5320999999999998</v>
      </c>
      <c r="J69" s="150">
        <v>2.4199999999999999E-2</v>
      </c>
      <c r="K69" s="150">
        <v>0.1244</v>
      </c>
      <c r="L69" s="150">
        <v>3.4099999999999998E-2</v>
      </c>
      <c r="M69" s="156">
        <v>96</v>
      </c>
      <c r="N69" s="57">
        <f t="shared" si="3"/>
        <v>0.16483423194962951</v>
      </c>
      <c r="O69" s="57">
        <f t="shared" si="2"/>
        <v>0.18876550376280746</v>
      </c>
      <c r="P69" s="57">
        <f t="shared" si="2"/>
        <v>0.1798486624359924</v>
      </c>
      <c r="Q69" s="57">
        <f t="shared" si="2"/>
        <v>0.154210603903362</v>
      </c>
      <c r="R69" s="57">
        <f t="shared" si="2"/>
        <v>8.0771575914117655E-2</v>
      </c>
      <c r="S69" s="57">
        <f t="shared" si="2"/>
        <v>3.6940286473810542E-2</v>
      </c>
      <c r="T69" s="57">
        <f t="shared" si="2"/>
        <v>4.2326883697605414E-2</v>
      </c>
      <c r="U69" s="57">
        <f t="shared" si="2"/>
        <v>4.0443204037635579E-3</v>
      </c>
      <c r="V69" s="57">
        <f t="shared" si="2"/>
        <v>5.3950906409922797E-2</v>
      </c>
      <c r="W69" s="57">
        <f t="shared" si="2"/>
        <v>1.8871057000553405E-2</v>
      </c>
    </row>
    <row r="70" spans="1:23" x14ac:dyDescent="0.3">
      <c r="B70" s="156">
        <v>120</v>
      </c>
      <c r="C70" s="150">
        <v>28.323699999999999</v>
      </c>
      <c r="D70" s="150">
        <v>12.8108</v>
      </c>
      <c r="E70" s="150">
        <v>18.2622</v>
      </c>
      <c r="F70" s="150">
        <v>8.3612000000000002</v>
      </c>
      <c r="G70" s="150">
        <v>3.6046999999999998</v>
      </c>
      <c r="H70" s="150">
        <v>1.0630999999999999</v>
      </c>
      <c r="I70" s="150">
        <v>1.6005</v>
      </c>
      <c r="J70" s="150">
        <v>2.8400000000000002E-2</v>
      </c>
      <c r="K70" s="150">
        <v>9.5100000000000004E-2</v>
      </c>
      <c r="L70" s="150">
        <v>3.9899999999999998E-2</v>
      </c>
      <c r="M70" s="156">
        <v>120</v>
      </c>
      <c r="N70" s="57">
        <f t="shared" si="3"/>
        <v>0.19235776587168724</v>
      </c>
      <c r="O70" s="57">
        <f t="shared" si="2"/>
        <v>0.22001174696622575</v>
      </c>
      <c r="P70" s="57">
        <f t="shared" si="2"/>
        <v>0.20720924137195476</v>
      </c>
      <c r="Q70" s="57">
        <f t="shared" si="2"/>
        <v>0.15602251925276686</v>
      </c>
      <c r="R70" s="57">
        <f t="shared" si="2"/>
        <v>6.4079340558932121E-2</v>
      </c>
      <c r="S70" s="57">
        <f t="shared" si="2"/>
        <v>2.4489410420496373E-2</v>
      </c>
      <c r="T70" s="57">
        <f t="shared" si="2"/>
        <v>2.6754147686907103E-2</v>
      </c>
      <c r="U70" s="57">
        <f t="shared" si="2"/>
        <v>4.7462272506977295E-3</v>
      </c>
      <c r="V70" s="57">
        <f t="shared" si="2"/>
        <v>4.1243819932344522E-2</v>
      </c>
      <c r="W70" s="57">
        <f t="shared" si="2"/>
        <v>2.2080796900940787E-2</v>
      </c>
    </row>
    <row r="71" spans="1:23" x14ac:dyDescent="0.3">
      <c r="B71" s="156" t="s">
        <v>234</v>
      </c>
      <c r="C71" s="150">
        <v>27.177199999999999</v>
      </c>
      <c r="D71" s="150">
        <v>12.3825</v>
      </c>
      <c r="E71" s="150">
        <v>17.379300000000001</v>
      </c>
      <c r="F71" s="150">
        <v>7.9029999999999996</v>
      </c>
      <c r="G71" s="150">
        <v>3.2793000000000001</v>
      </c>
      <c r="H71" s="150">
        <v>1.1456999999999999</v>
      </c>
      <c r="I71" s="150">
        <v>1.6328</v>
      </c>
      <c r="J71" s="150">
        <v>2.7400000000000001E-2</v>
      </c>
      <c r="K71" s="150">
        <v>0.1338</v>
      </c>
      <c r="L71" s="150">
        <v>4.7899999999999998E-2</v>
      </c>
      <c r="M71" s="156" t="s">
        <v>234</v>
      </c>
      <c r="N71" s="57">
        <f t="shared" si="3"/>
        <v>0.18457141809325822</v>
      </c>
      <c r="O71" s="57">
        <f t="shared" si="2"/>
        <v>0.21265615393334455</v>
      </c>
      <c r="P71" s="57">
        <f t="shared" si="2"/>
        <v>0.19719155241841693</v>
      </c>
      <c r="Q71" s="57">
        <f t="shared" si="2"/>
        <v>0.14747236875742911</v>
      </c>
      <c r="R71" s="57">
        <f t="shared" si="2"/>
        <v>5.829483216215111E-2</v>
      </c>
      <c r="S71" s="57">
        <f t="shared" si="2"/>
        <v>2.6392171497284071E-2</v>
      </c>
      <c r="T71" s="57">
        <f t="shared" si="2"/>
        <v>2.7294078315015256E-2</v>
      </c>
      <c r="U71" s="57">
        <f t="shared" si="2"/>
        <v>4.5791065728562601E-3</v>
      </c>
      <c r="V71" s="57">
        <f t="shared" si="2"/>
        <v>5.802758261774655E-2</v>
      </c>
      <c r="W71" s="57">
        <f t="shared" si="2"/>
        <v>2.6508024349750969E-2</v>
      </c>
    </row>
    <row r="73" spans="1:23" x14ac:dyDescent="0.3">
      <c r="A73" t="s">
        <v>146</v>
      </c>
      <c r="B73" s="77" t="s">
        <v>240</v>
      </c>
      <c r="C73" s="143" t="s">
        <v>54</v>
      </c>
      <c r="D73" s="143" t="s">
        <v>49</v>
      </c>
      <c r="E73" s="143" t="s">
        <v>52</v>
      </c>
      <c r="F73" s="143" t="s">
        <v>53</v>
      </c>
      <c r="G73" s="143" t="s">
        <v>55</v>
      </c>
      <c r="H73" s="143" t="s">
        <v>72</v>
      </c>
      <c r="I73" s="143" t="s">
        <v>50</v>
      </c>
      <c r="J73" s="143" t="s">
        <v>51</v>
      </c>
      <c r="K73" s="143" t="s">
        <v>58</v>
      </c>
      <c r="L73" s="160" t="s">
        <v>57</v>
      </c>
      <c r="M73" s="30" t="s">
        <v>239</v>
      </c>
      <c r="N73" s="160" t="s">
        <v>54</v>
      </c>
      <c r="O73" s="160" t="s">
        <v>49</v>
      </c>
      <c r="P73" s="160" t="s">
        <v>52</v>
      </c>
      <c r="Q73" s="160" t="s">
        <v>53</v>
      </c>
      <c r="R73" s="160" t="s">
        <v>55</v>
      </c>
      <c r="S73" s="160" t="s">
        <v>72</v>
      </c>
      <c r="T73" s="160" t="s">
        <v>50</v>
      </c>
      <c r="U73" s="160" t="s">
        <v>51</v>
      </c>
      <c r="V73" s="160" t="s">
        <v>58</v>
      </c>
      <c r="W73" s="160" t="s">
        <v>57</v>
      </c>
    </row>
    <row r="74" spans="1:23" x14ac:dyDescent="0.3">
      <c r="B74">
        <v>1</v>
      </c>
      <c r="C74" s="150">
        <v>0.193</v>
      </c>
      <c r="D74" s="150">
        <v>6.6699999999999995E-2</v>
      </c>
      <c r="E74" s="150">
        <v>0.13969999999999999</v>
      </c>
      <c r="F74" s="150">
        <v>0.11310000000000001</v>
      </c>
      <c r="G74" s="150">
        <v>7.3899999999999993E-2</v>
      </c>
      <c r="H74" s="150">
        <v>0.09</v>
      </c>
      <c r="I74" s="150">
        <v>0.12</v>
      </c>
      <c r="J74" s="150">
        <v>1.89E-2</v>
      </c>
      <c r="K74" s="150">
        <v>1.6000000000000001E-3</v>
      </c>
      <c r="L74" s="154">
        <v>0.05</v>
      </c>
      <c r="M74">
        <v>1</v>
      </c>
      <c r="N74" s="57">
        <f>C74/E$54</f>
        <v>1.3107414925746155E-3</v>
      </c>
      <c r="O74" s="57">
        <f t="shared" ref="O74:W80" si="4">D74/F$54</f>
        <v>1.1455009462833902E-3</v>
      </c>
      <c r="P74" s="57">
        <f t="shared" si="4"/>
        <v>1.5850845472978109E-3</v>
      </c>
      <c r="Q74" s="57">
        <f t="shared" si="4"/>
        <v>2.1104801855580456E-3</v>
      </c>
      <c r="R74" s="57">
        <f t="shared" si="4"/>
        <v>1.3136913660790311E-3</v>
      </c>
      <c r="S74" s="57">
        <f t="shared" si="4"/>
        <v>2.0732263548534227E-3</v>
      </c>
      <c r="T74" s="57">
        <f t="shared" si="4"/>
        <v>2.0059342220736347E-3</v>
      </c>
      <c r="U74" s="57">
        <f t="shared" si="4"/>
        <v>3.1585808112037702E-3</v>
      </c>
      <c r="V74" s="57">
        <f t="shared" si="4"/>
        <v>6.939023332465955E-4</v>
      </c>
      <c r="W74" s="57">
        <f t="shared" si="4"/>
        <v>2.7670171555063645E-2</v>
      </c>
    </row>
    <row r="75" spans="1:23" x14ac:dyDescent="0.3">
      <c r="B75">
        <v>24</v>
      </c>
      <c r="C75" s="150">
        <v>0.48649999999999999</v>
      </c>
      <c r="D75" s="150">
        <v>0.28699999999999998</v>
      </c>
      <c r="E75" s="150">
        <v>0.94479999999999997</v>
      </c>
      <c r="F75" s="150">
        <v>4.4512</v>
      </c>
      <c r="G75" s="150">
        <v>5.8395999999999999</v>
      </c>
      <c r="H75" s="150">
        <v>9.9006000000000007</v>
      </c>
      <c r="I75" s="150">
        <v>5.6529999999999996</v>
      </c>
      <c r="J75" s="150">
        <v>0.10009999999999999</v>
      </c>
      <c r="K75" s="150">
        <v>0.3891</v>
      </c>
      <c r="L75" s="154">
        <v>7.4999999999999997E-2</v>
      </c>
      <c r="M75">
        <v>24</v>
      </c>
      <c r="N75" s="57">
        <f t="shared" ref="N75:N80" si="5">C75/E$54</f>
        <v>3.3040193582256497E-3</v>
      </c>
      <c r="O75" s="57">
        <f t="shared" si="4"/>
        <v>4.9289171151923987E-3</v>
      </c>
      <c r="P75" s="57">
        <f t="shared" si="4"/>
        <v>1.0720027775855201E-2</v>
      </c>
      <c r="Q75" s="57">
        <f t="shared" si="4"/>
        <v>8.3060737417824687E-2</v>
      </c>
      <c r="R75" s="57">
        <f t="shared" si="4"/>
        <v>0.10380828283295143</v>
      </c>
      <c r="S75" s="57">
        <f t="shared" si="4"/>
        <v>0.22806872054290889</v>
      </c>
      <c r="T75" s="57">
        <f t="shared" si="4"/>
        <v>9.4496217978185457E-2</v>
      </c>
      <c r="U75" s="57">
        <f t="shared" si="4"/>
        <v>1.672877985193108E-2</v>
      </c>
      <c r="V75" s="57">
        <f t="shared" si="4"/>
        <v>0.16874837366640644</v>
      </c>
      <c r="W75" s="57">
        <f t="shared" si="4"/>
        <v>4.1505257332595462E-2</v>
      </c>
    </row>
    <row r="76" spans="1:23" x14ac:dyDescent="0.3">
      <c r="B76">
        <v>48</v>
      </c>
      <c r="C76" s="150">
        <v>3.9378000000000002</v>
      </c>
      <c r="D76" s="150">
        <v>1.9479</v>
      </c>
      <c r="E76" s="150">
        <v>5.4227999999999996</v>
      </c>
      <c r="F76" s="150">
        <v>8.2768999999999995</v>
      </c>
      <c r="G76" s="150">
        <v>6.1348000000000003</v>
      </c>
      <c r="H76" s="150">
        <v>2.2342</v>
      </c>
      <c r="I76" s="150">
        <v>3.99</v>
      </c>
      <c r="J76" s="150">
        <v>0.02</v>
      </c>
      <c r="K76" s="150">
        <v>0.27200000000000002</v>
      </c>
      <c r="L76" s="154">
        <v>0.05</v>
      </c>
      <c r="M76">
        <v>48</v>
      </c>
      <c r="N76" s="57">
        <f t="shared" si="5"/>
        <v>2.6743201292540524E-2</v>
      </c>
      <c r="O76" s="57">
        <f t="shared" si="4"/>
        <v>3.3453092852554961E-2</v>
      </c>
      <c r="P76" s="57">
        <f t="shared" si="4"/>
        <v>6.1528965519588891E-2</v>
      </c>
      <c r="Q76" s="57">
        <f t="shared" si="4"/>
        <v>0.15444945577228458</v>
      </c>
      <c r="R76" s="57">
        <f t="shared" si="4"/>
        <v>0.10905593765387876</v>
      </c>
      <c r="S76" s="57">
        <f t="shared" si="4"/>
        <v>5.1466692466816857E-2</v>
      </c>
      <c r="T76" s="57">
        <f t="shared" si="4"/>
        <v>6.6697312883948354E-2</v>
      </c>
      <c r="U76" s="57">
        <f t="shared" si="4"/>
        <v>3.3424135568293867E-3</v>
      </c>
      <c r="V76" s="57">
        <f t="shared" si="4"/>
        <v>0.11796339665192125</v>
      </c>
      <c r="W76" s="57">
        <f t="shared" si="4"/>
        <v>2.7670171555063645E-2</v>
      </c>
    </row>
    <row r="77" spans="1:23" x14ac:dyDescent="0.3">
      <c r="B77" s="156">
        <v>72</v>
      </c>
      <c r="C77" s="150">
        <v>4.3478000000000003</v>
      </c>
      <c r="D77" s="150">
        <v>2.6751</v>
      </c>
      <c r="E77" s="150">
        <v>6.7180999999999997</v>
      </c>
      <c r="F77" s="150">
        <v>11.802099999999999</v>
      </c>
      <c r="G77" s="150">
        <v>7.3390000000000004</v>
      </c>
      <c r="H77" s="150">
        <v>2.2919</v>
      </c>
      <c r="I77" s="150">
        <v>4.8188000000000004</v>
      </c>
      <c r="J77" s="150">
        <v>3.6999999999999998E-2</v>
      </c>
      <c r="K77" s="150">
        <v>0.16420000000000001</v>
      </c>
      <c r="L77" s="161">
        <v>3.5499999999999997E-2</v>
      </c>
      <c r="M77" s="156">
        <v>72</v>
      </c>
      <c r="N77" s="57">
        <f t="shared" si="5"/>
        <v>2.9527678038424422E-2</v>
      </c>
      <c r="O77" s="57">
        <f t="shared" si="4"/>
        <v>4.5941972734673125E-2</v>
      </c>
      <c r="P77" s="57">
        <f t="shared" si="4"/>
        <v>7.6225887596287928E-2</v>
      </c>
      <c r="Q77" s="57">
        <f t="shared" si="4"/>
        <v>0.22023075329774192</v>
      </c>
      <c r="R77" s="57">
        <f t="shared" si="4"/>
        <v>0.13046252957583235</v>
      </c>
      <c r="S77" s="57">
        <f t="shared" si="4"/>
        <v>5.2795860918761775E-2</v>
      </c>
      <c r="T77" s="57">
        <f t="shared" si="4"/>
        <v>8.0551631911070259E-2</v>
      </c>
      <c r="U77" s="57">
        <f t="shared" si="4"/>
        <v>6.1834650801343653E-3</v>
      </c>
      <c r="V77" s="57">
        <f t="shared" si="4"/>
        <v>7.1211726949431869E-2</v>
      </c>
      <c r="W77" s="57">
        <f t="shared" si="4"/>
        <v>1.9645821804095184E-2</v>
      </c>
    </row>
    <row r="78" spans="1:23" x14ac:dyDescent="0.3">
      <c r="B78" s="156">
        <v>96</v>
      </c>
      <c r="C78" s="150">
        <v>12.5687</v>
      </c>
      <c r="D78" s="150">
        <v>6.6787000000000001</v>
      </c>
      <c r="E78" s="150">
        <v>11.190200000000001</v>
      </c>
      <c r="F78" s="150">
        <v>11.0631</v>
      </c>
      <c r="G78" s="150">
        <v>6.8544</v>
      </c>
      <c r="H78" s="150">
        <v>2.2271999999999998</v>
      </c>
      <c r="I78" s="150">
        <v>3.6739000000000002</v>
      </c>
      <c r="J78" s="150">
        <v>1.8700000000000001E-2</v>
      </c>
      <c r="K78" s="150">
        <v>0.15959999999999999</v>
      </c>
      <c r="L78" s="151">
        <v>5.1900000000000002E-2</v>
      </c>
      <c r="M78" s="156">
        <v>96</v>
      </c>
      <c r="N78" s="57">
        <f t="shared" si="5"/>
        <v>8.5359153356075482E-2</v>
      </c>
      <c r="O78" s="57">
        <f t="shared" si="4"/>
        <v>0.11469950779524557</v>
      </c>
      <c r="P78" s="57">
        <f t="shared" si="4"/>
        <v>0.12696788189815295</v>
      </c>
      <c r="Q78" s="57">
        <f t="shared" si="4"/>
        <v>0.20644078992791526</v>
      </c>
      <c r="R78" s="57">
        <f t="shared" si="4"/>
        <v>0.12184798511031274</v>
      </c>
      <c r="S78" s="57">
        <f t="shared" si="4"/>
        <v>5.1305441528106031E-2</v>
      </c>
      <c r="T78" s="57">
        <f t="shared" si="4"/>
        <v>6.1413347820636052E-2</v>
      </c>
      <c r="U78" s="57">
        <f t="shared" si="4"/>
        <v>3.1251566756354768E-3</v>
      </c>
      <c r="V78" s="57">
        <f t="shared" si="4"/>
        <v>6.9216757741347903E-2</v>
      </c>
      <c r="W78" s="57">
        <f t="shared" si="4"/>
        <v>2.872163807415606E-2</v>
      </c>
    </row>
    <row r="79" spans="1:23" x14ac:dyDescent="0.3">
      <c r="B79" s="156">
        <v>120</v>
      </c>
      <c r="C79" s="150">
        <v>15.2796</v>
      </c>
      <c r="D79" s="150">
        <v>7.2111999999999998</v>
      </c>
      <c r="E79" s="150">
        <v>13.041</v>
      </c>
      <c r="F79" s="150">
        <v>11.900700000000001</v>
      </c>
      <c r="G79" s="150">
        <v>6.9429999999999996</v>
      </c>
      <c r="H79" s="150">
        <v>2.2543000000000002</v>
      </c>
      <c r="I79" s="150">
        <v>4.0551000000000004</v>
      </c>
      <c r="J79" s="150">
        <v>4.8000000000000001E-2</v>
      </c>
      <c r="K79" s="150">
        <v>0.22789999999999999</v>
      </c>
      <c r="L79" s="151">
        <v>5.4199999999999998E-2</v>
      </c>
      <c r="M79" s="156">
        <v>120</v>
      </c>
      <c r="N79" s="57">
        <f t="shared" si="5"/>
        <v>0.10376997777172588</v>
      </c>
      <c r="O79" s="57">
        <f t="shared" si="4"/>
        <v>0.12384462404555899</v>
      </c>
      <c r="P79" s="57">
        <f t="shared" si="4"/>
        <v>0.14796769922198105</v>
      </c>
      <c r="Q79" s="57">
        <f t="shared" si="4"/>
        <v>0.22207065910053611</v>
      </c>
      <c r="R79" s="57">
        <f t="shared" si="4"/>
        <v>0.12342299262092982</v>
      </c>
      <c r="S79" s="57">
        <f t="shared" si="4"/>
        <v>5.1929713019400796E-2</v>
      </c>
      <c r="T79" s="57">
        <f t="shared" si="4"/>
        <v>6.7785532199423307E-2</v>
      </c>
      <c r="U79" s="57">
        <f t="shared" si="4"/>
        <v>8.0217925363905273E-3</v>
      </c>
      <c r="V79" s="57">
        <f t="shared" si="4"/>
        <v>9.883771359181194E-2</v>
      </c>
      <c r="W79" s="57">
        <f t="shared" si="4"/>
        <v>2.9994465965688989E-2</v>
      </c>
    </row>
    <row r="80" spans="1:23" x14ac:dyDescent="0.3">
      <c r="B80" s="156" t="s">
        <v>234</v>
      </c>
      <c r="C80" s="150">
        <v>14.616199999999999</v>
      </c>
      <c r="D80" s="150">
        <v>7.2335000000000003</v>
      </c>
      <c r="E80" s="150">
        <v>12.299799999999999</v>
      </c>
      <c r="F80" s="150">
        <v>11.4664</v>
      </c>
      <c r="G80" s="150">
        <v>7.1974</v>
      </c>
      <c r="H80" s="150">
        <v>2.2955000000000001</v>
      </c>
      <c r="I80" s="150">
        <v>3.9908999999999999</v>
      </c>
      <c r="J80" s="150">
        <v>0.02</v>
      </c>
      <c r="K80" s="150">
        <v>0.1303</v>
      </c>
      <c r="L80" s="151">
        <v>4.24E-2</v>
      </c>
      <c r="M80" s="156" t="s">
        <v>234</v>
      </c>
      <c r="N80" s="57">
        <f t="shared" si="5"/>
        <v>9.9264558568751785E-2</v>
      </c>
      <c r="O80" s="57">
        <f t="shared" si="4"/>
        <v>0.12422760262280216</v>
      </c>
      <c r="P80" s="57">
        <f t="shared" si="4"/>
        <v>0.13955778750789988</v>
      </c>
      <c r="Q80" s="57">
        <f t="shared" si="4"/>
        <v>0.21396648982920224</v>
      </c>
      <c r="R80" s="57">
        <f t="shared" si="4"/>
        <v>0.12794536181620053</v>
      </c>
      <c r="S80" s="57">
        <f t="shared" si="4"/>
        <v>5.2878789972955913E-2</v>
      </c>
      <c r="T80" s="57">
        <f t="shared" si="4"/>
        <v>6.6712357390613902E-2</v>
      </c>
      <c r="U80" s="57">
        <f t="shared" si="4"/>
        <v>3.3424135568293867E-3</v>
      </c>
      <c r="V80" s="57">
        <f t="shared" si="4"/>
        <v>5.6509671263769622E-2</v>
      </c>
      <c r="W80" s="57">
        <f t="shared" si="4"/>
        <v>2.3464305478693968E-2</v>
      </c>
    </row>
    <row r="81" spans="1:23" x14ac:dyDescent="0.3">
      <c r="N81" s="162"/>
      <c r="O81" s="162"/>
      <c r="P81" s="162"/>
      <c r="Q81" s="162"/>
      <c r="R81" s="162"/>
      <c r="S81" s="162"/>
      <c r="T81" s="162"/>
      <c r="U81" s="162"/>
      <c r="V81" s="162"/>
      <c r="W81" s="162"/>
    </row>
    <row r="82" spans="1:23" x14ac:dyDescent="0.3">
      <c r="A82" t="s">
        <v>148</v>
      </c>
      <c r="B82" s="77" t="s">
        <v>240</v>
      </c>
      <c r="C82" s="160" t="s">
        <v>54</v>
      </c>
      <c r="D82" s="160" t="s">
        <v>49</v>
      </c>
      <c r="E82" s="160" t="s">
        <v>52</v>
      </c>
      <c r="F82" s="160" t="s">
        <v>53</v>
      </c>
      <c r="G82" s="160" t="s">
        <v>55</v>
      </c>
      <c r="H82" s="160" t="s">
        <v>72</v>
      </c>
      <c r="I82" s="160" t="s">
        <v>50</v>
      </c>
      <c r="J82" s="160" t="s">
        <v>51</v>
      </c>
      <c r="K82" s="160" t="s">
        <v>58</v>
      </c>
      <c r="L82" s="160" t="s">
        <v>57</v>
      </c>
      <c r="M82" s="30" t="s">
        <v>239</v>
      </c>
      <c r="N82" s="160" t="s">
        <v>54</v>
      </c>
      <c r="O82" s="160" t="s">
        <v>49</v>
      </c>
      <c r="P82" s="160" t="s">
        <v>52</v>
      </c>
      <c r="Q82" s="160" t="s">
        <v>53</v>
      </c>
      <c r="R82" s="160" t="s">
        <v>55</v>
      </c>
      <c r="S82" s="160" t="s">
        <v>72</v>
      </c>
      <c r="T82" s="160" t="s">
        <v>50</v>
      </c>
      <c r="U82" s="160" t="s">
        <v>51</v>
      </c>
      <c r="V82" s="160" t="s">
        <v>58</v>
      </c>
      <c r="W82" s="160" t="s">
        <v>57</v>
      </c>
    </row>
    <row r="83" spans="1:23" x14ac:dyDescent="0.3">
      <c r="B83">
        <v>1</v>
      </c>
      <c r="C83" s="150">
        <v>0</v>
      </c>
      <c r="D83" s="150">
        <v>0</v>
      </c>
      <c r="E83" s="150">
        <v>0</v>
      </c>
      <c r="F83" s="150">
        <v>0</v>
      </c>
      <c r="G83" s="150">
        <v>0</v>
      </c>
      <c r="H83" s="150">
        <v>0</v>
      </c>
      <c r="I83" s="150">
        <v>0</v>
      </c>
      <c r="J83" s="150">
        <v>0</v>
      </c>
      <c r="K83" s="150">
        <v>0</v>
      </c>
      <c r="L83" s="150">
        <v>0</v>
      </c>
      <c r="M83">
        <v>1</v>
      </c>
      <c r="N83" s="53">
        <f>C83/E$54</f>
        <v>0</v>
      </c>
      <c r="O83" s="53">
        <f t="shared" ref="O83:W89" si="6">D83/F$54</f>
        <v>0</v>
      </c>
      <c r="P83" s="53">
        <f t="shared" si="6"/>
        <v>0</v>
      </c>
      <c r="Q83" s="53">
        <f t="shared" si="6"/>
        <v>0</v>
      </c>
      <c r="R83" s="53">
        <f t="shared" si="6"/>
        <v>0</v>
      </c>
      <c r="S83" s="53">
        <f t="shared" si="6"/>
        <v>0</v>
      </c>
      <c r="T83" s="53">
        <f t="shared" si="6"/>
        <v>0</v>
      </c>
      <c r="U83" s="53">
        <f t="shared" si="6"/>
        <v>0</v>
      </c>
      <c r="V83" s="53">
        <f t="shared" si="6"/>
        <v>0</v>
      </c>
      <c r="W83" s="53">
        <f t="shared" si="6"/>
        <v>0</v>
      </c>
    </row>
    <row r="84" spans="1:23" x14ac:dyDescent="0.3">
      <c r="B84">
        <v>24</v>
      </c>
      <c r="C84" s="150">
        <v>0.1424</v>
      </c>
      <c r="D84" s="150">
        <v>9.11E-2</v>
      </c>
      <c r="E84" s="150">
        <v>0.16170000000000001</v>
      </c>
      <c r="F84" s="150">
        <v>2.0238999999999998</v>
      </c>
      <c r="G84" s="150">
        <v>18.111499999999999</v>
      </c>
      <c r="H84" s="150">
        <v>16.455500000000001</v>
      </c>
      <c r="I84" s="150">
        <v>35.088799999999999</v>
      </c>
      <c r="J84" s="150">
        <v>1.0833999999999999</v>
      </c>
      <c r="K84" s="150">
        <v>4.3663999999999996</v>
      </c>
      <c r="L84" s="154">
        <v>0.33</v>
      </c>
      <c r="M84">
        <v>24</v>
      </c>
      <c r="N84" s="57">
        <f t="shared" ref="N84:N89" si="7">C84/E$54</f>
        <v>9.6709631369235874E-4</v>
      </c>
      <c r="O84" s="57">
        <f t="shared" si="6"/>
        <v>1.5645447707108974E-3</v>
      </c>
      <c r="P84" s="57">
        <f t="shared" si="6"/>
        <v>1.8347041610454978E-3</v>
      </c>
      <c r="Q84" s="57">
        <f t="shared" si="6"/>
        <v>3.7766585743155862E-2</v>
      </c>
      <c r="R84" s="57">
        <f t="shared" si="6"/>
        <v>0.32196104434019451</v>
      </c>
      <c r="S84" s="57">
        <f t="shared" si="6"/>
        <v>0.37906640313656109</v>
      </c>
      <c r="T84" s="57">
        <f t="shared" si="6"/>
        <v>0.58654853942914453</v>
      </c>
      <c r="U84" s="57">
        <f t="shared" si="6"/>
        <v>0.18105854237344787</v>
      </c>
      <c r="V84" s="57">
        <f t="shared" si="6"/>
        <v>1.8936594674299589</v>
      </c>
      <c r="W84" s="57">
        <f t="shared" si="6"/>
        <v>0.18262313226342006</v>
      </c>
    </row>
    <row r="85" spans="1:23" x14ac:dyDescent="0.3">
      <c r="B85">
        <v>48</v>
      </c>
      <c r="C85" s="150">
        <v>0.2263</v>
      </c>
      <c r="D85" s="150">
        <v>0.1113</v>
      </c>
      <c r="E85" s="150">
        <v>0.37519999999999998</v>
      </c>
      <c r="F85" s="150">
        <v>6.1632999999999996</v>
      </c>
      <c r="G85" s="150">
        <v>38.913800000000002</v>
      </c>
      <c r="H85" s="150">
        <v>26.762899999999998</v>
      </c>
      <c r="I85" s="150">
        <v>55.499200000000002</v>
      </c>
      <c r="J85" s="150">
        <v>2.6852</v>
      </c>
      <c r="K85" s="150">
        <v>5.9443999999999999</v>
      </c>
      <c r="L85" s="154">
        <v>0.47799999999999998</v>
      </c>
      <c r="M85">
        <v>48</v>
      </c>
      <c r="N85" s="57">
        <f t="shared" si="7"/>
        <v>1.5368953355939662E-3</v>
      </c>
      <c r="O85" s="57">
        <f t="shared" si="6"/>
        <v>1.9114581007697352E-3</v>
      </c>
      <c r="P85" s="57">
        <f t="shared" si="6"/>
        <v>4.2571490490060033E-3</v>
      </c>
      <c r="Q85" s="57">
        <f t="shared" si="6"/>
        <v>0.11500904091644476</v>
      </c>
      <c r="R85" s="57">
        <f t="shared" si="6"/>
        <v>0.69175538675678228</v>
      </c>
      <c r="S85" s="57">
        <f t="shared" si="6"/>
        <v>0.61650610680340734</v>
      </c>
      <c r="T85" s="57">
        <f t="shared" si="6"/>
        <v>0.92773120481424221</v>
      </c>
      <c r="U85" s="57">
        <f t="shared" si="6"/>
        <v>0.44875244413991344</v>
      </c>
      <c r="V85" s="57">
        <f t="shared" si="6"/>
        <v>2.5780206435944142</v>
      </c>
      <c r="W85" s="57">
        <f t="shared" si="6"/>
        <v>0.26452684006640842</v>
      </c>
    </row>
    <row r="86" spans="1:23" x14ac:dyDescent="0.3">
      <c r="B86">
        <v>72</v>
      </c>
      <c r="C86" s="150">
        <v>0</v>
      </c>
      <c r="D86" s="150">
        <v>0</v>
      </c>
      <c r="E86" s="150">
        <v>0</v>
      </c>
      <c r="F86" s="150">
        <v>0</v>
      </c>
      <c r="G86" s="150">
        <v>0</v>
      </c>
      <c r="H86" s="150">
        <v>0</v>
      </c>
      <c r="I86" s="150">
        <v>0</v>
      </c>
      <c r="J86" s="150">
        <v>0</v>
      </c>
      <c r="K86" s="150">
        <v>0</v>
      </c>
      <c r="L86" s="150">
        <v>0</v>
      </c>
      <c r="M86" s="156">
        <v>72</v>
      </c>
      <c r="N86" s="53">
        <f t="shared" si="7"/>
        <v>0</v>
      </c>
      <c r="O86" s="53">
        <f t="shared" si="6"/>
        <v>0</v>
      </c>
      <c r="P86" s="53">
        <f t="shared" si="6"/>
        <v>0</v>
      </c>
      <c r="Q86" s="53">
        <f t="shared" si="6"/>
        <v>0</v>
      </c>
      <c r="R86" s="53">
        <f t="shared" si="6"/>
        <v>0</v>
      </c>
      <c r="S86" s="53">
        <f t="shared" si="6"/>
        <v>0</v>
      </c>
      <c r="T86" s="53">
        <f t="shared" si="6"/>
        <v>0</v>
      </c>
      <c r="U86" s="53">
        <f t="shared" si="6"/>
        <v>0</v>
      </c>
      <c r="V86" s="53">
        <f t="shared" si="6"/>
        <v>0</v>
      </c>
      <c r="W86" s="53">
        <f t="shared" si="6"/>
        <v>0</v>
      </c>
    </row>
    <row r="87" spans="1:23" x14ac:dyDescent="0.3">
      <c r="B87">
        <v>96</v>
      </c>
      <c r="C87" s="150">
        <v>0</v>
      </c>
      <c r="D87" s="150">
        <v>0</v>
      </c>
      <c r="E87" s="150">
        <v>0</v>
      </c>
      <c r="F87" s="150">
        <v>0</v>
      </c>
      <c r="G87" s="150">
        <v>0</v>
      </c>
      <c r="H87" s="150">
        <v>0</v>
      </c>
      <c r="I87" s="150">
        <v>0</v>
      </c>
      <c r="J87" s="150">
        <v>0</v>
      </c>
      <c r="K87" s="150">
        <v>0</v>
      </c>
      <c r="L87" s="150">
        <v>0</v>
      </c>
      <c r="M87" s="156">
        <v>96</v>
      </c>
      <c r="N87" s="53">
        <f t="shared" si="7"/>
        <v>0</v>
      </c>
      <c r="O87" s="53">
        <f t="shared" si="6"/>
        <v>0</v>
      </c>
      <c r="P87" s="53">
        <f t="shared" si="6"/>
        <v>0</v>
      </c>
      <c r="Q87" s="53">
        <f t="shared" si="6"/>
        <v>0</v>
      </c>
      <c r="R87" s="53">
        <f t="shared" si="6"/>
        <v>0</v>
      </c>
      <c r="S87" s="53">
        <f t="shared" si="6"/>
        <v>0</v>
      </c>
      <c r="T87" s="53">
        <f t="shared" si="6"/>
        <v>0</v>
      </c>
      <c r="U87" s="53">
        <f t="shared" si="6"/>
        <v>0</v>
      </c>
      <c r="V87" s="53">
        <f t="shared" si="6"/>
        <v>0</v>
      </c>
      <c r="W87" s="53">
        <f t="shared" si="6"/>
        <v>0</v>
      </c>
    </row>
    <row r="88" spans="1:23" x14ac:dyDescent="0.3">
      <c r="B88">
        <v>120</v>
      </c>
      <c r="C88" s="150">
        <v>0</v>
      </c>
      <c r="D88" s="150">
        <v>0</v>
      </c>
      <c r="E88" s="150">
        <v>0</v>
      </c>
      <c r="F88" s="150">
        <v>0</v>
      </c>
      <c r="G88" s="150">
        <v>0</v>
      </c>
      <c r="H88" s="150">
        <v>0</v>
      </c>
      <c r="I88" s="150">
        <v>0</v>
      </c>
      <c r="J88" s="150">
        <v>0</v>
      </c>
      <c r="K88" s="150">
        <v>0</v>
      </c>
      <c r="L88" s="150">
        <v>0</v>
      </c>
      <c r="M88" s="156">
        <v>120</v>
      </c>
      <c r="N88" s="53">
        <f t="shared" si="7"/>
        <v>0</v>
      </c>
      <c r="O88" s="53">
        <f t="shared" si="6"/>
        <v>0</v>
      </c>
      <c r="P88" s="53">
        <f t="shared" si="6"/>
        <v>0</v>
      </c>
      <c r="Q88" s="53">
        <f t="shared" si="6"/>
        <v>0</v>
      </c>
      <c r="R88" s="53">
        <f t="shared" si="6"/>
        <v>0</v>
      </c>
      <c r="S88" s="53">
        <f t="shared" si="6"/>
        <v>0</v>
      </c>
      <c r="T88" s="53">
        <f t="shared" si="6"/>
        <v>0</v>
      </c>
      <c r="U88" s="53">
        <f t="shared" si="6"/>
        <v>0</v>
      </c>
      <c r="V88" s="53">
        <f t="shared" si="6"/>
        <v>0</v>
      </c>
      <c r="W88" s="53">
        <f t="shared" si="6"/>
        <v>0</v>
      </c>
    </row>
    <row r="89" spans="1:23" x14ac:dyDescent="0.3">
      <c r="B89" s="156" t="s">
        <v>234</v>
      </c>
      <c r="C89" s="150">
        <v>0</v>
      </c>
      <c r="D89" s="150">
        <v>0</v>
      </c>
      <c r="E89" s="150">
        <v>0</v>
      </c>
      <c r="F89" s="150">
        <v>0</v>
      </c>
      <c r="G89" s="150">
        <v>0</v>
      </c>
      <c r="H89" s="150">
        <v>0</v>
      </c>
      <c r="I89" s="150">
        <v>0</v>
      </c>
      <c r="J89" s="150">
        <v>0</v>
      </c>
      <c r="K89" s="150">
        <v>0</v>
      </c>
      <c r="L89" s="150">
        <v>0</v>
      </c>
      <c r="M89" s="156" t="s">
        <v>234</v>
      </c>
      <c r="N89" s="53">
        <f t="shared" si="7"/>
        <v>0</v>
      </c>
      <c r="O89" s="53">
        <f t="shared" si="6"/>
        <v>0</v>
      </c>
      <c r="P89" s="53">
        <f t="shared" si="6"/>
        <v>0</v>
      </c>
      <c r="Q89" s="53">
        <f t="shared" si="6"/>
        <v>0</v>
      </c>
      <c r="R89" s="53">
        <f t="shared" si="6"/>
        <v>0</v>
      </c>
      <c r="S89" s="53">
        <f t="shared" si="6"/>
        <v>0</v>
      </c>
      <c r="T89" s="53">
        <f t="shared" si="6"/>
        <v>0</v>
      </c>
      <c r="U89" s="53">
        <f t="shared" si="6"/>
        <v>0</v>
      </c>
      <c r="V89" s="53">
        <f t="shared" si="6"/>
        <v>0</v>
      </c>
      <c r="W89" s="53">
        <f t="shared" si="6"/>
        <v>0</v>
      </c>
    </row>
    <row r="91" spans="1:23" x14ac:dyDescent="0.3">
      <c r="A91" t="s">
        <v>236</v>
      </c>
      <c r="B91" s="30" t="s">
        <v>239</v>
      </c>
      <c r="C91" s="160" t="s">
        <v>54</v>
      </c>
      <c r="D91" s="160" t="s">
        <v>49</v>
      </c>
      <c r="E91" s="160" t="s">
        <v>52</v>
      </c>
      <c r="F91" s="160" t="s">
        <v>53</v>
      </c>
      <c r="G91" s="160" t="s">
        <v>55</v>
      </c>
      <c r="H91" s="160" t="s">
        <v>72</v>
      </c>
      <c r="I91" s="160" t="s">
        <v>50</v>
      </c>
      <c r="J91" s="160" t="s">
        <v>51</v>
      </c>
      <c r="K91" s="160" t="s">
        <v>58</v>
      </c>
      <c r="L91" s="160" t="s">
        <v>57</v>
      </c>
    </row>
    <row r="92" spans="1:23" x14ac:dyDescent="0.3">
      <c r="B92">
        <v>1</v>
      </c>
      <c r="C92">
        <v>0.65782244410502511</v>
      </c>
      <c r="D92">
        <v>0.60466649950710827</v>
      </c>
      <c r="E92">
        <v>0.60705220794221537</v>
      </c>
      <c r="F92">
        <v>0.41559105574392091</v>
      </c>
      <c r="G92">
        <v>0.19716391988438095</v>
      </c>
      <c r="H92">
        <v>8.7287436709006558E-2</v>
      </c>
      <c r="I92">
        <v>0.11377491746416483</v>
      </c>
      <c r="J92">
        <v>0.11773651753931515</v>
      </c>
      <c r="K92">
        <v>1.2245641425969294</v>
      </c>
      <c r="L92">
        <v>0.24349750968456005</v>
      </c>
    </row>
    <row r="93" spans="1:23" x14ac:dyDescent="0.3">
      <c r="B93">
        <v>2</v>
      </c>
      <c r="C93">
        <v>5.3332916793722568E-3</v>
      </c>
      <c r="D93">
        <v>6.6188315546869365E-3</v>
      </c>
      <c r="E93">
        <v>7.924288101881111E-3</v>
      </c>
      <c r="F93">
        <v>2.3903847194516856E-2</v>
      </c>
      <c r="G93">
        <v>4.4288642347081172E-2</v>
      </c>
      <c r="H93">
        <v>6.3141260429480359E-2</v>
      </c>
      <c r="I93">
        <v>5.216097622132141E-2</v>
      </c>
      <c r="J93">
        <v>1.5124421344652974E-2</v>
      </c>
      <c r="K93">
        <v>8.2747853239656513E-2</v>
      </c>
      <c r="L93">
        <v>2.7670171555063645E-2</v>
      </c>
    </row>
    <row r="94" spans="1:23" x14ac:dyDescent="0.3">
      <c r="B94">
        <v>3</v>
      </c>
      <c r="C94">
        <v>2.6743201292540524E-2</v>
      </c>
      <c r="D94">
        <v>3.3453092852554961E-2</v>
      </c>
      <c r="E94">
        <v>6.1528965519588891E-2</v>
      </c>
      <c r="F94">
        <v>0.15444945577228458</v>
      </c>
      <c r="G94">
        <v>0.10905593765387876</v>
      </c>
      <c r="H94">
        <v>5.1466692466816857E-2</v>
      </c>
      <c r="I94">
        <v>6.6697312883948354E-2</v>
      </c>
      <c r="J94">
        <v>3.3424135568293867E-3</v>
      </c>
      <c r="K94">
        <v>0.11796339665192125</v>
      </c>
      <c r="L94">
        <v>2.7670171555063645E-2</v>
      </c>
    </row>
    <row r="95" spans="1:23" x14ac:dyDescent="0.3">
      <c r="B95">
        <v>4</v>
      </c>
      <c r="C95">
        <v>1.5368953355939662E-3</v>
      </c>
      <c r="D95">
        <v>1.9114581007697352E-3</v>
      </c>
      <c r="E95">
        <v>4.2571490490060033E-3</v>
      </c>
      <c r="F95">
        <v>0.11500904091644476</v>
      </c>
      <c r="G95">
        <v>0.69175538675678228</v>
      </c>
      <c r="H95">
        <v>0.61650610680340734</v>
      </c>
      <c r="I95">
        <v>0.92773120481424221</v>
      </c>
      <c r="J95">
        <v>0.44875244413991344</v>
      </c>
      <c r="K95">
        <v>2.5780206435944142</v>
      </c>
      <c r="L95">
        <v>0.26452684006640842</v>
      </c>
    </row>
    <row r="97" spans="1:12" x14ac:dyDescent="0.3">
      <c r="A97" t="s">
        <v>237</v>
      </c>
      <c r="B97" s="30" t="s">
        <v>239</v>
      </c>
      <c r="C97" s="160" t="s">
        <v>54</v>
      </c>
      <c r="D97" s="160" t="s">
        <v>49</v>
      </c>
      <c r="E97" s="160" t="s">
        <v>52</v>
      </c>
      <c r="F97" s="160" t="s">
        <v>53</v>
      </c>
      <c r="G97" s="160" t="s">
        <v>55</v>
      </c>
      <c r="H97" s="160" t="s">
        <v>72</v>
      </c>
      <c r="I97" s="160" t="s">
        <v>50</v>
      </c>
      <c r="J97" s="160" t="s">
        <v>51</v>
      </c>
      <c r="K97" s="160" t="s">
        <v>58</v>
      </c>
      <c r="L97" s="160" t="s">
        <v>57</v>
      </c>
    </row>
    <row r="98" spans="1:12" x14ac:dyDescent="0.3">
      <c r="B98">
        <v>1</v>
      </c>
      <c r="C98">
        <v>0.54693371383321254</v>
      </c>
      <c r="D98">
        <v>0.53746320486090837</v>
      </c>
      <c r="E98">
        <v>0.4225084274985505</v>
      </c>
      <c r="F98">
        <v>0.20644825404881906</v>
      </c>
      <c r="G98">
        <v>6.5007279521169262E-2</v>
      </c>
      <c r="H98">
        <v>2.5982133395990838E-2</v>
      </c>
      <c r="I98">
        <v>2.5859835346232603E-2</v>
      </c>
      <c r="J98">
        <v>1.0227785483897923E-2</v>
      </c>
      <c r="K98">
        <v>0.26212160638390147</v>
      </c>
      <c r="L98">
        <v>9.6624239070282239E-2</v>
      </c>
    </row>
    <row r="99" spans="1:12" x14ac:dyDescent="0.3">
      <c r="B99">
        <v>2</v>
      </c>
      <c r="C99">
        <v>0.19235776587168724</v>
      </c>
      <c r="D99">
        <v>0.22001174696622575</v>
      </c>
      <c r="E99">
        <v>0.20720924137195476</v>
      </c>
      <c r="F99">
        <v>0.15602251925276686</v>
      </c>
      <c r="G99">
        <v>6.4079340558932121E-2</v>
      </c>
      <c r="H99">
        <v>2.4489410420496373E-2</v>
      </c>
      <c r="I99">
        <v>2.6754147686907103E-2</v>
      </c>
      <c r="J99">
        <v>4.7462272506977295E-3</v>
      </c>
      <c r="K99">
        <v>4.1243819932344522E-2</v>
      </c>
      <c r="L99">
        <v>2.2080796900940787E-2</v>
      </c>
    </row>
    <row r="100" spans="1:12" x14ac:dyDescent="0.3">
      <c r="B100">
        <v>3</v>
      </c>
      <c r="C100">
        <v>0.10376997777172588</v>
      </c>
      <c r="D100">
        <v>0.12384462404555899</v>
      </c>
      <c r="E100">
        <v>0.14796769922198105</v>
      </c>
      <c r="F100">
        <v>0.22207065910053611</v>
      </c>
      <c r="G100">
        <v>0.12342299262092982</v>
      </c>
      <c r="H100">
        <v>5.1929713019400796E-2</v>
      </c>
      <c r="I100">
        <v>6.7785532199423307E-2</v>
      </c>
      <c r="J100">
        <v>8.0217925363905273E-3</v>
      </c>
      <c r="K100">
        <v>9.883771359181194E-2</v>
      </c>
      <c r="L100">
        <v>2.9994465965688989E-2</v>
      </c>
    </row>
    <row r="102" spans="1:12" x14ac:dyDescent="0.3">
      <c r="A102" t="s">
        <v>238</v>
      </c>
      <c r="B102" s="77" t="s">
        <v>240</v>
      </c>
      <c r="C102" s="160" t="s">
        <v>54</v>
      </c>
      <c r="D102" s="160" t="s">
        <v>49</v>
      </c>
      <c r="E102" s="160" t="s">
        <v>52</v>
      </c>
      <c r="F102" s="160" t="s">
        <v>53</v>
      </c>
      <c r="G102" s="160" t="s">
        <v>55</v>
      </c>
      <c r="H102" s="160" t="s">
        <v>72</v>
      </c>
      <c r="I102" s="160" t="s">
        <v>50</v>
      </c>
      <c r="J102" s="160" t="s">
        <v>51</v>
      </c>
      <c r="K102" s="160" t="s">
        <v>58</v>
      </c>
      <c r="L102" s="160" t="s">
        <v>57</v>
      </c>
    </row>
    <row r="103" spans="1:12" x14ac:dyDescent="0.3">
      <c r="B103">
        <v>1</v>
      </c>
      <c r="C103" s="150">
        <v>80.232100000000003</v>
      </c>
      <c r="D103" s="150">
        <v>30.706499999999998</v>
      </c>
      <c r="E103" s="150">
        <v>37.911900000000003</v>
      </c>
      <c r="F103" s="150">
        <v>11.4373</v>
      </c>
      <c r="G103" s="150">
        <v>3.8119000000000001</v>
      </c>
      <c r="H103" s="150">
        <v>1.3105</v>
      </c>
      <c r="I103" s="150">
        <v>1.7070000000000001</v>
      </c>
      <c r="J103" s="150">
        <v>0.1817</v>
      </c>
      <c r="K103" s="150">
        <v>1.5492999999999999</v>
      </c>
      <c r="L103" s="151">
        <v>0.1968</v>
      </c>
    </row>
    <row r="104" spans="1:12" x14ac:dyDescent="0.3">
      <c r="B104">
        <v>2</v>
      </c>
      <c r="C104" s="150">
        <v>27.177199999999999</v>
      </c>
      <c r="D104" s="150">
        <v>12.3825</v>
      </c>
      <c r="E104" s="150">
        <v>17.379300000000001</v>
      </c>
      <c r="F104" s="150">
        <v>7.9029999999999996</v>
      </c>
      <c r="G104" s="150">
        <v>3.2793000000000001</v>
      </c>
      <c r="H104" s="150">
        <v>1.1456999999999999</v>
      </c>
      <c r="I104" s="150">
        <v>1.6328</v>
      </c>
      <c r="J104" s="150">
        <v>2.7400000000000001E-2</v>
      </c>
      <c r="K104" s="150">
        <v>0.1338</v>
      </c>
      <c r="L104" s="150">
        <v>4.7899999999999998E-2</v>
      </c>
    </row>
    <row r="105" spans="1:12" x14ac:dyDescent="0.3">
      <c r="B105">
        <v>3</v>
      </c>
      <c r="C105" s="150">
        <v>14.616199999999999</v>
      </c>
      <c r="D105" s="150">
        <v>7.2335000000000003</v>
      </c>
      <c r="E105" s="150">
        <v>12.299799999999999</v>
      </c>
      <c r="F105" s="150">
        <v>11.4664</v>
      </c>
      <c r="G105" s="150">
        <v>7.1974</v>
      </c>
      <c r="H105" s="150">
        <v>2.2955000000000001</v>
      </c>
      <c r="I105" s="150">
        <v>3.9908999999999999</v>
      </c>
      <c r="J105" s="150">
        <v>0.02</v>
      </c>
      <c r="K105" s="150">
        <v>0.1303</v>
      </c>
      <c r="L105" s="151">
        <v>4.24E-2</v>
      </c>
    </row>
    <row r="155" spans="1:26" x14ac:dyDescent="0.3">
      <c r="A155" s="77" t="s">
        <v>241</v>
      </c>
      <c r="B155" s="77"/>
    </row>
    <row r="156" spans="1:26" x14ac:dyDescent="0.3">
      <c r="A156" s="139" t="s">
        <v>242</v>
      </c>
      <c r="B156" s="77"/>
    </row>
    <row r="157" spans="1:26" x14ac:dyDescent="0.3">
      <c r="A157" s="139"/>
      <c r="B157" s="77"/>
    </row>
    <row r="158" spans="1:26" x14ac:dyDescent="0.3">
      <c r="A158" s="77" t="s">
        <v>160</v>
      </c>
      <c r="B158" s="77"/>
    </row>
    <row r="159" spans="1:26" x14ac:dyDescent="0.3">
      <c r="A159" s="140"/>
    </row>
    <row r="160" spans="1:26" x14ac:dyDescent="0.3">
      <c r="A160" s="141"/>
      <c r="B160" s="142"/>
      <c r="C160" s="143" t="s">
        <v>161</v>
      </c>
      <c r="D160" s="143" t="s">
        <v>54</v>
      </c>
      <c r="E160" s="143" t="s">
        <v>49</v>
      </c>
      <c r="F160" s="143" t="s">
        <v>52</v>
      </c>
      <c r="G160" s="143" t="s">
        <v>162</v>
      </c>
      <c r="H160" s="143" t="s">
        <v>53</v>
      </c>
      <c r="I160" s="143" t="s">
        <v>55</v>
      </c>
      <c r="J160" s="143" t="s">
        <v>72</v>
      </c>
      <c r="K160" s="143" t="s">
        <v>50</v>
      </c>
      <c r="L160" s="143" t="s">
        <v>163</v>
      </c>
      <c r="M160" s="143" t="s">
        <v>164</v>
      </c>
      <c r="N160" s="143" t="s">
        <v>51</v>
      </c>
      <c r="O160" s="143" t="s">
        <v>165</v>
      </c>
      <c r="P160" s="143" t="s">
        <v>166</v>
      </c>
      <c r="Q160" s="143" t="s">
        <v>167</v>
      </c>
      <c r="R160" s="143" t="s">
        <v>168</v>
      </c>
      <c r="S160" s="143" t="s">
        <v>58</v>
      </c>
      <c r="T160" s="143" t="s">
        <v>169</v>
      </c>
      <c r="U160" s="143" t="s">
        <v>170</v>
      </c>
      <c r="V160" s="143" t="s">
        <v>171</v>
      </c>
      <c r="W160" s="143" t="s">
        <v>172</v>
      </c>
      <c r="X160" s="143" t="s">
        <v>173</v>
      </c>
      <c r="Y160" s="143" t="s">
        <v>174</v>
      </c>
      <c r="Z160" s="143" t="s">
        <v>57</v>
      </c>
    </row>
    <row r="161" spans="1:26" x14ac:dyDescent="0.3">
      <c r="A161" s="141"/>
      <c r="B161" s="142"/>
      <c r="C161" s="143" t="s">
        <v>175</v>
      </c>
      <c r="D161" s="143" t="s">
        <v>176</v>
      </c>
      <c r="E161" s="143" t="s">
        <v>177</v>
      </c>
      <c r="F161" s="143" t="s">
        <v>178</v>
      </c>
      <c r="G161" s="143" t="s">
        <v>179</v>
      </c>
      <c r="H161" s="143" t="s">
        <v>180</v>
      </c>
      <c r="I161" s="143" t="s">
        <v>181</v>
      </c>
      <c r="J161" s="143" t="s">
        <v>182</v>
      </c>
      <c r="K161" s="143" t="s">
        <v>183</v>
      </c>
      <c r="L161" s="143" t="s">
        <v>184</v>
      </c>
      <c r="M161" s="143" t="s">
        <v>185</v>
      </c>
      <c r="N161" s="143" t="s">
        <v>186</v>
      </c>
      <c r="O161" s="143" t="s">
        <v>187</v>
      </c>
      <c r="P161" s="143" t="s">
        <v>188</v>
      </c>
      <c r="Q161" s="143" t="s">
        <v>189</v>
      </c>
      <c r="R161" s="143" t="s">
        <v>190</v>
      </c>
      <c r="S161" s="143" t="s">
        <v>191</v>
      </c>
      <c r="T161" s="143" t="s">
        <v>192</v>
      </c>
      <c r="U161" s="143" t="s">
        <v>193</v>
      </c>
      <c r="V161" s="143" t="s">
        <v>194</v>
      </c>
      <c r="W161" s="143" t="s">
        <v>195</v>
      </c>
      <c r="X161" s="143" t="s">
        <v>196</v>
      </c>
      <c r="Y161" s="143" t="s">
        <v>197</v>
      </c>
      <c r="Z161" s="143" t="s">
        <v>198</v>
      </c>
    </row>
    <row r="162" spans="1:26" x14ac:dyDescent="0.3">
      <c r="A162" s="144" t="s">
        <v>243</v>
      </c>
      <c r="B162" s="144"/>
      <c r="C162" s="145">
        <v>0.5</v>
      </c>
      <c r="D162" s="145">
        <v>0.05</v>
      </c>
      <c r="E162" s="145">
        <v>0.1</v>
      </c>
      <c r="F162" s="145">
        <v>0.05</v>
      </c>
      <c r="G162" s="145">
        <v>0.05</v>
      </c>
      <c r="H162" s="145">
        <v>0.2</v>
      </c>
      <c r="I162" s="145">
        <v>0.02</v>
      </c>
      <c r="J162" s="145">
        <v>0.02</v>
      </c>
      <c r="K162" s="145">
        <v>0.05</v>
      </c>
      <c r="L162" s="145">
        <v>0.05</v>
      </c>
      <c r="M162" s="145">
        <v>0.02</v>
      </c>
      <c r="N162" s="145">
        <v>0.02</v>
      </c>
      <c r="O162" s="145">
        <v>0.02</v>
      </c>
      <c r="P162" s="145">
        <v>0.02</v>
      </c>
      <c r="Q162" s="145">
        <v>0.02</v>
      </c>
      <c r="R162" s="145">
        <v>0.02</v>
      </c>
      <c r="S162" s="145">
        <v>0.02</v>
      </c>
      <c r="T162" s="145">
        <v>0.02</v>
      </c>
      <c r="U162" s="145">
        <v>0.05</v>
      </c>
      <c r="V162" s="145">
        <v>0.02</v>
      </c>
      <c r="W162" s="145">
        <v>0.02</v>
      </c>
      <c r="X162" s="145">
        <v>0.02</v>
      </c>
      <c r="Y162" s="145">
        <v>0.05</v>
      </c>
      <c r="Z162" s="145">
        <v>0.05</v>
      </c>
    </row>
    <row r="163" spans="1:26" x14ac:dyDescent="0.3">
      <c r="A163" s="146" t="s">
        <v>200</v>
      </c>
      <c r="B163" s="147" t="s">
        <v>201</v>
      </c>
      <c r="C163" s="148" t="s">
        <v>244</v>
      </c>
      <c r="D163" s="148" t="s">
        <v>244</v>
      </c>
      <c r="E163" s="148" t="s">
        <v>244</v>
      </c>
      <c r="F163" s="148" t="s">
        <v>244</v>
      </c>
      <c r="G163" s="148" t="s">
        <v>244</v>
      </c>
      <c r="H163" s="148" t="s">
        <v>244</v>
      </c>
      <c r="I163" s="148" t="s">
        <v>244</v>
      </c>
      <c r="J163" s="148" t="s">
        <v>244</v>
      </c>
      <c r="K163" s="148" t="s">
        <v>244</v>
      </c>
      <c r="L163" s="148" t="s">
        <v>244</v>
      </c>
      <c r="M163" s="148" t="s">
        <v>244</v>
      </c>
      <c r="N163" s="148" t="s">
        <v>244</v>
      </c>
      <c r="O163" s="148" t="s">
        <v>244</v>
      </c>
      <c r="P163" s="148" t="s">
        <v>244</v>
      </c>
      <c r="Q163" s="148" t="s">
        <v>244</v>
      </c>
      <c r="R163" s="148" t="s">
        <v>244</v>
      </c>
      <c r="S163" s="148" t="s">
        <v>244</v>
      </c>
      <c r="T163" s="148" t="s">
        <v>244</v>
      </c>
      <c r="U163" s="148" t="s">
        <v>244</v>
      </c>
      <c r="V163" s="148" t="s">
        <v>244</v>
      </c>
      <c r="W163" s="148" t="s">
        <v>244</v>
      </c>
      <c r="X163" s="148" t="s">
        <v>244</v>
      </c>
      <c r="Y163" s="148" t="s">
        <v>244</v>
      </c>
      <c r="Z163" s="148" t="s">
        <v>244</v>
      </c>
    </row>
    <row r="164" spans="1:26" x14ac:dyDescent="0.3">
      <c r="A164" s="149">
        <v>1</v>
      </c>
      <c r="B164" s="47" t="s">
        <v>245</v>
      </c>
      <c r="C164" s="150" t="s">
        <v>246</v>
      </c>
      <c r="D164" s="150" t="s">
        <v>204</v>
      </c>
      <c r="E164" s="150">
        <v>0.23712930128387735</v>
      </c>
      <c r="F164" s="150" t="s">
        <v>204</v>
      </c>
      <c r="G164" s="150" t="s">
        <v>204</v>
      </c>
      <c r="H164" s="150" t="s">
        <v>247</v>
      </c>
      <c r="I164" s="150" t="s">
        <v>205</v>
      </c>
      <c r="J164" s="150">
        <v>5.8840286441194094E-2</v>
      </c>
      <c r="K164" s="150">
        <v>8.6737851298120838E-2</v>
      </c>
      <c r="L164" s="150" t="s">
        <v>204</v>
      </c>
      <c r="M164" s="150" t="s">
        <v>205</v>
      </c>
      <c r="N164" s="150">
        <v>0.18329878881346939</v>
      </c>
      <c r="O164" s="150" t="s">
        <v>205</v>
      </c>
      <c r="P164" s="150" t="s">
        <v>205</v>
      </c>
      <c r="Q164" s="150" t="s">
        <v>205</v>
      </c>
      <c r="R164" s="150" t="s">
        <v>205</v>
      </c>
      <c r="S164" s="150">
        <v>0.34655848174379422</v>
      </c>
      <c r="T164" s="150" t="s">
        <v>205</v>
      </c>
      <c r="U164" s="150" t="s">
        <v>204</v>
      </c>
      <c r="V164" s="150" t="s">
        <v>205</v>
      </c>
      <c r="W164" s="150" t="s">
        <v>205</v>
      </c>
      <c r="X164" s="150" t="s">
        <v>205</v>
      </c>
      <c r="Y164" s="150" t="s">
        <v>204</v>
      </c>
      <c r="Z164" s="151" t="s">
        <v>204</v>
      </c>
    </row>
    <row r="165" spans="1:26" x14ac:dyDescent="0.3">
      <c r="A165" s="149">
        <v>2</v>
      </c>
      <c r="B165" s="47" t="s">
        <v>248</v>
      </c>
      <c r="C165" s="150" t="s">
        <v>246</v>
      </c>
      <c r="D165" s="150">
        <v>7.8143040558639604E-2</v>
      </c>
      <c r="E165" s="150">
        <v>0.32125472229662949</v>
      </c>
      <c r="F165" s="150">
        <v>7.8604878859813598E-2</v>
      </c>
      <c r="G165" s="150" t="s">
        <v>204</v>
      </c>
      <c r="H165" s="150" t="s">
        <v>247</v>
      </c>
      <c r="I165" s="150">
        <v>0.61978700017549859</v>
      </c>
      <c r="J165" s="150">
        <v>0.92247582276493356</v>
      </c>
      <c r="K165" s="150">
        <v>1.0706335497815505</v>
      </c>
      <c r="L165" s="150" t="s">
        <v>204</v>
      </c>
      <c r="M165" s="150" t="s">
        <v>205</v>
      </c>
      <c r="N165" s="150">
        <v>1.2480718250925986</v>
      </c>
      <c r="O165" s="150" t="s">
        <v>205</v>
      </c>
      <c r="P165" s="150" t="s">
        <v>205</v>
      </c>
      <c r="Q165" s="150" t="s">
        <v>205</v>
      </c>
      <c r="R165" s="150" t="s">
        <v>205</v>
      </c>
      <c r="S165" s="150">
        <v>1.2592483119810092</v>
      </c>
      <c r="T165" s="150" t="s">
        <v>205</v>
      </c>
      <c r="U165" s="150" t="s">
        <v>204</v>
      </c>
      <c r="V165" s="150" t="s">
        <v>205</v>
      </c>
      <c r="W165" s="150" t="s">
        <v>205</v>
      </c>
      <c r="X165" s="150" t="s">
        <v>205</v>
      </c>
      <c r="Y165" s="150" t="s">
        <v>204</v>
      </c>
      <c r="Z165" s="151">
        <v>0.58247046544063996</v>
      </c>
    </row>
    <row r="166" spans="1:26" x14ac:dyDescent="0.3">
      <c r="A166" s="149">
        <v>3</v>
      </c>
      <c r="B166" s="47" t="s">
        <v>249</v>
      </c>
      <c r="C166" s="150" t="s">
        <v>246</v>
      </c>
      <c r="D166" s="150">
        <v>0.30432764712011134</v>
      </c>
      <c r="E166" s="150" t="s">
        <v>250</v>
      </c>
      <c r="F166" s="150">
        <v>0.32857535258626402</v>
      </c>
      <c r="G166" s="150" t="s">
        <v>204</v>
      </c>
      <c r="H166" s="150">
        <v>1.3197950311147313</v>
      </c>
      <c r="I166" s="150">
        <v>4.2448639381683506</v>
      </c>
      <c r="J166" s="150">
        <v>2.8786572833098116</v>
      </c>
      <c r="K166" s="150">
        <v>4.6261969936633918</v>
      </c>
      <c r="L166" s="150" t="s">
        <v>204</v>
      </c>
      <c r="M166" s="150" t="s">
        <v>205</v>
      </c>
      <c r="N166" s="150">
        <v>0.62627276774297425</v>
      </c>
      <c r="O166" s="150" t="s">
        <v>205</v>
      </c>
      <c r="P166" s="150" t="s">
        <v>205</v>
      </c>
      <c r="Q166" s="150" t="s">
        <v>205</v>
      </c>
      <c r="R166" s="150" t="s">
        <v>205</v>
      </c>
      <c r="S166" s="150">
        <v>0.84459683453782541</v>
      </c>
      <c r="T166" s="150" t="s">
        <v>205</v>
      </c>
      <c r="U166" s="150" t="s">
        <v>204</v>
      </c>
      <c r="V166" s="150" t="s">
        <v>205</v>
      </c>
      <c r="W166" s="150" t="s">
        <v>205</v>
      </c>
      <c r="X166" s="150" t="s">
        <v>205</v>
      </c>
      <c r="Y166" s="150" t="s">
        <v>204</v>
      </c>
      <c r="Z166" s="151">
        <v>0.10456822982278335</v>
      </c>
    </row>
    <row r="167" spans="1:26" x14ac:dyDescent="0.3">
      <c r="A167" s="170">
        <v>4</v>
      </c>
      <c r="B167" s="47" t="s">
        <v>251</v>
      </c>
      <c r="C167" s="165" t="s">
        <v>246</v>
      </c>
      <c r="D167" s="165">
        <v>0.93715059141999657</v>
      </c>
      <c r="E167" s="165">
        <v>0.91400380548853455</v>
      </c>
      <c r="F167" s="165">
        <v>0.98050177524078552</v>
      </c>
      <c r="G167" s="165" t="s">
        <v>204</v>
      </c>
      <c r="H167" s="165">
        <v>1.8841091429804431</v>
      </c>
      <c r="I167" s="165">
        <v>2.0698719080405659</v>
      </c>
      <c r="J167" s="165">
        <v>1.0163008297534279</v>
      </c>
      <c r="K167" s="165">
        <v>1.360854469487436</v>
      </c>
      <c r="L167" s="165" t="s">
        <v>204</v>
      </c>
      <c r="M167" s="165" t="s">
        <v>205</v>
      </c>
      <c r="N167" s="165">
        <v>0.25618391886855374</v>
      </c>
      <c r="O167" s="165" t="s">
        <v>205</v>
      </c>
      <c r="P167" s="165" t="s">
        <v>205</v>
      </c>
      <c r="Q167" s="165" t="s">
        <v>205</v>
      </c>
      <c r="R167" s="165" t="s">
        <v>205</v>
      </c>
      <c r="S167" s="165">
        <v>0.20998842660703429</v>
      </c>
      <c r="T167" s="165" t="s">
        <v>205</v>
      </c>
      <c r="U167" s="165" t="s">
        <v>204</v>
      </c>
      <c r="V167" s="165" t="s">
        <v>205</v>
      </c>
      <c r="W167" s="165" t="s">
        <v>205</v>
      </c>
      <c r="X167" s="165" t="s">
        <v>205</v>
      </c>
      <c r="Y167" s="165" t="s">
        <v>204</v>
      </c>
      <c r="Z167" s="166">
        <v>6.6203730948037443E-2</v>
      </c>
    </row>
    <row r="168" spans="1:26" x14ac:dyDescent="0.3">
      <c r="A168" s="171"/>
      <c r="B168" s="47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155"/>
    </row>
    <row r="169" spans="1:26" x14ac:dyDescent="0.3">
      <c r="A169" s="171"/>
      <c r="B169" s="47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155"/>
    </row>
    <row r="170" spans="1:26" x14ac:dyDescent="0.3">
      <c r="A170" s="171"/>
      <c r="B170" s="47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155"/>
    </row>
    <row r="171" spans="1:26" x14ac:dyDescent="0.3">
      <c r="A171" s="171"/>
      <c r="B171" s="47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155"/>
    </row>
    <row r="173" spans="1:26" x14ac:dyDescent="0.3">
      <c r="C173" s="143" t="s">
        <v>54</v>
      </c>
      <c r="D173" s="143" t="s">
        <v>49</v>
      </c>
      <c r="E173" s="143" t="s">
        <v>52</v>
      </c>
      <c r="F173" s="143" t="s">
        <v>53</v>
      </c>
      <c r="G173" s="143" t="s">
        <v>55</v>
      </c>
      <c r="H173" s="143" t="s">
        <v>72</v>
      </c>
      <c r="I173" s="143" t="s">
        <v>50</v>
      </c>
      <c r="J173" s="143" t="s">
        <v>51</v>
      </c>
      <c r="K173" s="143" t="s">
        <v>58</v>
      </c>
      <c r="L173" s="143" t="s">
        <v>57</v>
      </c>
    </row>
    <row r="174" spans="1:26" x14ac:dyDescent="0.3">
      <c r="C174" s="143" t="s">
        <v>176</v>
      </c>
      <c r="D174" s="143" t="s">
        <v>177</v>
      </c>
      <c r="E174" s="143" t="s">
        <v>178</v>
      </c>
      <c r="F174" s="143" t="s">
        <v>180</v>
      </c>
      <c r="G174" s="143" t="s">
        <v>181</v>
      </c>
      <c r="H174" s="143" t="s">
        <v>182</v>
      </c>
      <c r="I174" s="143" t="s">
        <v>183</v>
      </c>
      <c r="J174" s="143" t="s">
        <v>186</v>
      </c>
      <c r="K174" s="143" t="s">
        <v>191</v>
      </c>
      <c r="L174" s="143" t="s">
        <v>198</v>
      </c>
    </row>
    <row r="175" spans="1:26" x14ac:dyDescent="0.3">
      <c r="C175" s="145">
        <v>0.05</v>
      </c>
      <c r="D175" s="145">
        <v>0.1</v>
      </c>
      <c r="E175" s="145">
        <v>0.05</v>
      </c>
      <c r="F175" s="145">
        <v>0.2</v>
      </c>
      <c r="G175" s="145">
        <v>0.02</v>
      </c>
      <c r="H175" s="145">
        <v>0.02</v>
      </c>
      <c r="I175" s="145">
        <v>0.05</v>
      </c>
      <c r="J175" s="145">
        <v>0.02</v>
      </c>
      <c r="K175" s="145">
        <v>0.02</v>
      </c>
      <c r="L175" s="145">
        <v>0.05</v>
      </c>
    </row>
    <row r="176" spans="1:26" x14ac:dyDescent="0.3">
      <c r="A176" s="30" t="s">
        <v>256</v>
      </c>
      <c r="C176" s="148" t="s">
        <v>244</v>
      </c>
      <c r="D176" s="148" t="s">
        <v>244</v>
      </c>
      <c r="E176" s="148" t="s">
        <v>244</v>
      </c>
      <c r="F176" s="148" t="s">
        <v>244</v>
      </c>
      <c r="G176" s="148" t="s">
        <v>244</v>
      </c>
      <c r="H176" s="148" t="s">
        <v>244</v>
      </c>
      <c r="I176" s="148" t="s">
        <v>244</v>
      </c>
      <c r="J176" s="148" t="s">
        <v>244</v>
      </c>
      <c r="K176" s="148" t="s">
        <v>244</v>
      </c>
      <c r="L176" s="148" t="s">
        <v>244</v>
      </c>
      <c r="M176" s="163" t="s">
        <v>257</v>
      </c>
    </row>
    <row r="177" spans="1:27" x14ac:dyDescent="0.3">
      <c r="A177" t="s">
        <v>258</v>
      </c>
      <c r="B177" s="30">
        <v>4.5</v>
      </c>
      <c r="C177" s="158">
        <v>0.05</v>
      </c>
      <c r="D177" s="158">
        <v>0.23712930128387735</v>
      </c>
      <c r="E177" s="158">
        <v>0.05</v>
      </c>
      <c r="F177" s="158">
        <v>0.2</v>
      </c>
      <c r="G177" s="158">
        <v>0.02</v>
      </c>
      <c r="H177" s="158">
        <v>5.8840286441194094E-2</v>
      </c>
      <c r="I177" s="158">
        <v>8.6737851298120838E-2</v>
      </c>
      <c r="J177" s="158">
        <v>0.18329878881346939</v>
      </c>
      <c r="K177" s="158">
        <v>0.34655848174379422</v>
      </c>
      <c r="L177" s="159">
        <v>0.05</v>
      </c>
      <c r="M177" s="164">
        <f>0.06/100</f>
        <v>5.9999999999999995E-4</v>
      </c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</row>
    <row r="178" spans="1:27" x14ac:dyDescent="0.3">
      <c r="A178" t="s">
        <v>258</v>
      </c>
      <c r="B178">
        <v>4</v>
      </c>
      <c r="C178" s="150">
        <v>7.8143040558639604E-2</v>
      </c>
      <c r="D178" s="150">
        <v>0.32125472229662949</v>
      </c>
      <c r="E178" s="150">
        <v>7.8604878859813598E-2</v>
      </c>
      <c r="F178" s="150">
        <v>0.2</v>
      </c>
      <c r="G178" s="150">
        <v>0.61978700017549859</v>
      </c>
      <c r="H178" s="150">
        <v>0.92247582276493356</v>
      </c>
      <c r="I178" s="150">
        <v>1.0706335497815505</v>
      </c>
      <c r="J178" s="150">
        <v>1.2480718250925986</v>
      </c>
      <c r="K178" s="150">
        <v>1.2592483119810092</v>
      </c>
      <c r="L178" s="151">
        <v>0.58247046544063996</v>
      </c>
      <c r="M178" s="164">
        <f>1.59/100</f>
        <v>1.5900000000000001E-2</v>
      </c>
    </row>
    <row r="179" spans="1:27" x14ac:dyDescent="0.3">
      <c r="A179" t="s">
        <v>258</v>
      </c>
      <c r="B179">
        <v>3</v>
      </c>
      <c r="C179" s="150">
        <v>0.30432764712011134</v>
      </c>
      <c r="D179" s="150">
        <v>0.1</v>
      </c>
      <c r="E179" s="150">
        <v>0.32857535258626402</v>
      </c>
      <c r="F179" s="150">
        <v>1.3197950311147313</v>
      </c>
      <c r="G179" s="150">
        <v>4.2448639381683506</v>
      </c>
      <c r="H179" s="150">
        <v>2.8786572833098116</v>
      </c>
      <c r="I179" s="150">
        <v>4.6261969936633918</v>
      </c>
      <c r="J179" s="150">
        <v>0.62627276774297425</v>
      </c>
      <c r="K179" s="150">
        <v>0.84459683453782541</v>
      </c>
      <c r="L179" s="151">
        <v>0.10456822982278335</v>
      </c>
      <c r="M179" s="164">
        <f>3.19/100</f>
        <v>3.1899999999999998E-2</v>
      </c>
    </row>
    <row r="180" spans="1:27" x14ac:dyDescent="0.3">
      <c r="A180" t="s">
        <v>258</v>
      </c>
      <c r="B180">
        <v>2</v>
      </c>
      <c r="C180" s="165">
        <v>0.93715059141999657</v>
      </c>
      <c r="D180" s="165">
        <v>0.91400380548853455</v>
      </c>
      <c r="E180" s="165">
        <v>0.98050177524078552</v>
      </c>
      <c r="F180" s="165">
        <v>1.8841091429804431</v>
      </c>
      <c r="G180" s="165">
        <v>2.0698719080405659</v>
      </c>
      <c r="H180" s="165">
        <v>1.0163008297534279</v>
      </c>
      <c r="I180" s="165">
        <v>1.360854469487436</v>
      </c>
      <c r="J180" s="165">
        <v>0.25618391886855374</v>
      </c>
      <c r="K180" s="165">
        <v>0.20998842660703429</v>
      </c>
      <c r="L180" s="166">
        <v>6.6203730948037443E-2</v>
      </c>
      <c r="M180" s="164">
        <f>1.57/100</f>
        <v>1.5700000000000002E-2</v>
      </c>
    </row>
    <row r="181" spans="1:27" x14ac:dyDescent="0.3">
      <c r="B181" s="30"/>
      <c r="C181" s="167"/>
      <c r="D181" s="167"/>
      <c r="E181" s="167"/>
      <c r="F181" s="167"/>
      <c r="G181" s="167"/>
      <c r="H181" s="167"/>
      <c r="I181" s="167"/>
      <c r="J181" s="167"/>
      <c r="K181" s="167"/>
      <c r="L181" s="168"/>
      <c r="M181" s="169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</row>
    <row r="182" spans="1:27" x14ac:dyDescent="0.3">
      <c r="C182" s="41"/>
      <c r="D182" s="41"/>
      <c r="E182" s="41"/>
      <c r="F182" s="41"/>
      <c r="G182" s="41"/>
      <c r="H182" s="41"/>
      <c r="I182" s="41"/>
      <c r="J182" s="41"/>
      <c r="K182" s="41"/>
      <c r="L182" s="155"/>
      <c r="M182" s="169"/>
    </row>
    <row r="183" spans="1:27" x14ac:dyDescent="0.3">
      <c r="C183" s="41"/>
      <c r="D183" s="41"/>
      <c r="E183" s="41"/>
      <c r="F183" s="41"/>
      <c r="G183" s="41"/>
      <c r="H183" s="41"/>
      <c r="I183" s="41"/>
      <c r="J183" s="41"/>
      <c r="K183" s="41"/>
      <c r="L183" s="155"/>
      <c r="M183" s="169"/>
    </row>
    <row r="184" spans="1:27" x14ac:dyDescent="0.3">
      <c r="C184" s="41"/>
      <c r="D184" s="41"/>
      <c r="E184" s="41"/>
      <c r="F184" s="41"/>
      <c r="G184" s="41"/>
      <c r="H184" s="41"/>
      <c r="I184" s="41"/>
      <c r="J184" s="41"/>
      <c r="K184" s="41"/>
      <c r="L184" s="155"/>
      <c r="M184" s="169"/>
    </row>
  </sheetData>
  <dataValidations count="1">
    <dataValidation type="decimal" errorStyle="warning" operator="greaterThan" allowBlank="1" showInputMessage="1" showErrorMessage="1" sqref="Z10:Z21 L59:L62 L68:L71 L77:L80 N43:N54 L103:L105 U32:U33 V31:W33 Z164:Z171 L177:L184" xr:uid="{F7ACD194-C989-4C23-A2D6-71B6AC6879B5}">
      <formula1>0.01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951F5-EB21-47E4-B37E-0AAD4456F111}">
  <dimension ref="A1:Z161"/>
  <sheetViews>
    <sheetView tabSelected="1" workbookViewId="0">
      <selection activeCell="C151" sqref="C151"/>
    </sheetView>
  </sheetViews>
  <sheetFormatPr defaultRowHeight="14.4" x14ac:dyDescent="0.3"/>
  <cols>
    <col min="1" max="1" width="32.77734375" customWidth="1"/>
    <col min="2" max="2" width="10.109375" customWidth="1"/>
  </cols>
  <sheetData>
    <row r="1" spans="1:26" x14ac:dyDescent="0.3">
      <c r="C1" s="143" t="s">
        <v>161</v>
      </c>
      <c r="D1" s="143" t="s">
        <v>54</v>
      </c>
      <c r="E1" s="143" t="s">
        <v>49</v>
      </c>
      <c r="F1" s="143" t="s">
        <v>52</v>
      </c>
      <c r="G1" s="143" t="s">
        <v>162</v>
      </c>
      <c r="H1" s="143" t="s">
        <v>53</v>
      </c>
      <c r="I1" s="143" t="s">
        <v>55</v>
      </c>
      <c r="J1" s="143" t="s">
        <v>72</v>
      </c>
      <c r="K1" s="143" t="s">
        <v>50</v>
      </c>
      <c r="L1" s="143" t="s">
        <v>163</v>
      </c>
      <c r="M1" s="143" t="s">
        <v>164</v>
      </c>
      <c r="N1" s="143" t="s">
        <v>51</v>
      </c>
      <c r="O1" s="143" t="s">
        <v>165</v>
      </c>
      <c r="P1" s="143" t="s">
        <v>166</v>
      </c>
      <c r="Q1" s="143" t="s">
        <v>167</v>
      </c>
      <c r="R1" s="143" t="s">
        <v>168</v>
      </c>
      <c r="S1" s="143" t="s">
        <v>58</v>
      </c>
      <c r="T1" s="143" t="s">
        <v>169</v>
      </c>
      <c r="U1" s="143" t="s">
        <v>170</v>
      </c>
      <c r="V1" s="143" t="s">
        <v>171</v>
      </c>
      <c r="W1" s="143" t="s">
        <v>172</v>
      </c>
      <c r="X1" s="143" t="s">
        <v>173</v>
      </c>
      <c r="Y1" s="143" t="s">
        <v>174</v>
      </c>
      <c r="Z1" s="143" t="s">
        <v>57</v>
      </c>
    </row>
    <row r="2" spans="1:26" x14ac:dyDescent="0.3">
      <c r="C2" s="143" t="s">
        <v>175</v>
      </c>
      <c r="D2" s="143" t="s">
        <v>176</v>
      </c>
      <c r="E2" s="143" t="s">
        <v>177</v>
      </c>
      <c r="F2" s="143" t="s">
        <v>178</v>
      </c>
      <c r="G2" s="143" t="s">
        <v>179</v>
      </c>
      <c r="H2" s="143" t="s">
        <v>180</v>
      </c>
      <c r="I2" s="143" t="s">
        <v>181</v>
      </c>
      <c r="J2" s="143" t="s">
        <v>182</v>
      </c>
      <c r="K2" s="143" t="s">
        <v>183</v>
      </c>
      <c r="L2" s="143" t="s">
        <v>184</v>
      </c>
      <c r="M2" s="143" t="s">
        <v>185</v>
      </c>
      <c r="N2" s="143" t="s">
        <v>186</v>
      </c>
      <c r="O2" s="143" t="s">
        <v>187</v>
      </c>
      <c r="P2" s="143" t="s">
        <v>188</v>
      </c>
      <c r="Q2" s="143" t="s">
        <v>189</v>
      </c>
      <c r="R2" s="143" t="s">
        <v>190</v>
      </c>
      <c r="S2" s="143" t="s">
        <v>191</v>
      </c>
      <c r="T2" s="143" t="s">
        <v>192</v>
      </c>
      <c r="U2" s="143" t="s">
        <v>193</v>
      </c>
      <c r="V2" s="143" t="s">
        <v>194</v>
      </c>
      <c r="W2" s="143" t="s">
        <v>195</v>
      </c>
      <c r="X2" s="143" t="s">
        <v>196</v>
      </c>
      <c r="Y2" s="143" t="s">
        <v>197</v>
      </c>
      <c r="Z2" s="143" t="s">
        <v>198</v>
      </c>
    </row>
    <row r="3" spans="1:26" x14ac:dyDescent="0.3">
      <c r="A3" s="144" t="s">
        <v>199</v>
      </c>
      <c r="C3" s="145">
        <v>0.05</v>
      </c>
      <c r="D3" s="145">
        <v>0.02</v>
      </c>
      <c r="E3" s="145">
        <v>0.05</v>
      </c>
      <c r="F3" s="145">
        <v>0.02</v>
      </c>
      <c r="G3" s="145">
        <v>0.05</v>
      </c>
      <c r="H3" s="145">
        <v>0.02</v>
      </c>
      <c r="I3" s="145">
        <v>0.02</v>
      </c>
      <c r="J3" s="145">
        <v>0.02</v>
      </c>
      <c r="K3" s="145">
        <v>0.02</v>
      </c>
      <c r="L3" s="145">
        <v>0.05</v>
      </c>
      <c r="M3" s="145">
        <v>0.02</v>
      </c>
      <c r="N3" s="145">
        <v>0.02</v>
      </c>
      <c r="O3" s="145">
        <v>0.02</v>
      </c>
      <c r="P3" s="145">
        <v>0.02</v>
      </c>
      <c r="Q3" s="145">
        <v>0.02</v>
      </c>
      <c r="R3" s="145">
        <v>0.02</v>
      </c>
      <c r="S3" s="145">
        <v>0.02</v>
      </c>
      <c r="T3" s="145">
        <v>0.02</v>
      </c>
      <c r="U3" s="145">
        <v>0.05</v>
      </c>
      <c r="V3" s="145">
        <v>0.02</v>
      </c>
      <c r="W3" s="145">
        <v>0.02</v>
      </c>
      <c r="X3" s="145">
        <v>0.02</v>
      </c>
      <c r="Y3" s="145">
        <v>0.05</v>
      </c>
      <c r="Z3" s="145">
        <v>0.02</v>
      </c>
    </row>
    <row r="4" spans="1:26" x14ac:dyDescent="0.3">
      <c r="A4" s="146" t="s">
        <v>200</v>
      </c>
      <c r="C4" s="148" t="s">
        <v>202</v>
      </c>
      <c r="D4" s="148" t="s">
        <v>202</v>
      </c>
      <c r="E4" s="148" t="s">
        <v>202</v>
      </c>
      <c r="F4" s="148" t="s">
        <v>202</v>
      </c>
      <c r="G4" s="148" t="s">
        <v>202</v>
      </c>
      <c r="H4" s="148" t="s">
        <v>202</v>
      </c>
      <c r="I4" s="148" t="s">
        <v>202</v>
      </c>
      <c r="J4" s="148" t="s">
        <v>202</v>
      </c>
      <c r="K4" s="148" t="s">
        <v>202</v>
      </c>
      <c r="L4" s="148" t="s">
        <v>202</v>
      </c>
      <c r="M4" s="148" t="s">
        <v>202</v>
      </c>
      <c r="N4" s="148" t="s">
        <v>202</v>
      </c>
      <c r="O4" s="148" t="s">
        <v>202</v>
      </c>
      <c r="P4" s="148" t="s">
        <v>202</v>
      </c>
      <c r="Q4" s="148" t="s">
        <v>202</v>
      </c>
      <c r="R4" s="148" t="s">
        <v>202</v>
      </c>
      <c r="S4" s="148" t="s">
        <v>202</v>
      </c>
      <c r="T4" s="148" t="s">
        <v>202</v>
      </c>
      <c r="U4" s="148" t="s">
        <v>202</v>
      </c>
      <c r="V4" s="148" t="s">
        <v>202</v>
      </c>
      <c r="W4" s="148" t="s">
        <v>202</v>
      </c>
      <c r="X4" s="148" t="s">
        <v>202</v>
      </c>
      <c r="Y4" s="148" t="s">
        <v>202</v>
      </c>
      <c r="Z4" s="148" t="s">
        <v>202</v>
      </c>
    </row>
    <row r="5" spans="1:26" x14ac:dyDescent="0.3">
      <c r="A5" s="149" t="s">
        <v>259</v>
      </c>
      <c r="B5" s="47" t="s">
        <v>260</v>
      </c>
      <c r="C5" s="150" t="s">
        <v>204</v>
      </c>
      <c r="D5" s="150">
        <v>137.69159999999999</v>
      </c>
      <c r="E5" s="150">
        <v>57.298299999999998</v>
      </c>
      <c r="F5" s="150">
        <v>84.500100000000003</v>
      </c>
      <c r="G5" s="150" t="s">
        <v>204</v>
      </c>
      <c r="H5" s="150">
        <v>50.082700000000003</v>
      </c>
      <c r="I5" s="150">
        <v>49.9572</v>
      </c>
      <c r="J5" s="150">
        <v>34.307099999999998</v>
      </c>
      <c r="K5" s="150">
        <v>51.9255</v>
      </c>
      <c r="L5" s="150" t="s">
        <v>204</v>
      </c>
      <c r="M5" s="150" t="s">
        <v>205</v>
      </c>
      <c r="N5" s="150">
        <v>1.3346</v>
      </c>
      <c r="O5" s="150" t="s">
        <v>205</v>
      </c>
      <c r="P5" s="150" t="s">
        <v>205</v>
      </c>
      <c r="Q5" s="150" t="s">
        <v>205</v>
      </c>
      <c r="R5" s="150" t="s">
        <v>205</v>
      </c>
      <c r="S5" s="150">
        <v>0.61219999999999997</v>
      </c>
      <c r="T5" s="150" t="s">
        <v>205</v>
      </c>
      <c r="U5" s="150" t="s">
        <v>204</v>
      </c>
      <c r="V5" s="150" t="s">
        <v>205</v>
      </c>
      <c r="W5" s="150" t="s">
        <v>205</v>
      </c>
      <c r="X5" s="150" t="s">
        <v>205</v>
      </c>
      <c r="Y5" s="150" t="s">
        <v>204</v>
      </c>
      <c r="Z5" s="151">
        <v>0.3589</v>
      </c>
    </row>
    <row r="6" spans="1:26" x14ac:dyDescent="0.3">
      <c r="A6" s="149" t="s">
        <v>261</v>
      </c>
      <c r="B6" s="47" t="s">
        <v>262</v>
      </c>
      <c r="C6" s="150" t="s">
        <v>204</v>
      </c>
      <c r="D6" s="150">
        <v>0.11409999999999999</v>
      </c>
      <c r="E6" s="150">
        <v>7.2499999999999995E-2</v>
      </c>
      <c r="F6" s="150">
        <v>0.10589999999999999</v>
      </c>
      <c r="G6" s="150" t="s">
        <v>204</v>
      </c>
      <c r="H6" s="150">
        <v>7.6499999999999999E-2</v>
      </c>
      <c r="I6" s="150">
        <v>7.2599999999999998E-2</v>
      </c>
      <c r="J6" s="150">
        <v>3.0300000000000001E-2</v>
      </c>
      <c r="K6" s="150">
        <v>0.1008</v>
      </c>
      <c r="L6" s="150" t="s">
        <v>204</v>
      </c>
      <c r="M6" s="150" t="s">
        <v>205</v>
      </c>
      <c r="N6" s="150" t="s">
        <v>205</v>
      </c>
      <c r="O6" s="150" t="s">
        <v>205</v>
      </c>
      <c r="P6" s="150" t="s">
        <v>205</v>
      </c>
      <c r="Q6" s="150" t="s">
        <v>205</v>
      </c>
      <c r="R6" s="150" t="s">
        <v>205</v>
      </c>
      <c r="S6" s="150" t="s">
        <v>205</v>
      </c>
      <c r="T6" s="150" t="s">
        <v>205</v>
      </c>
      <c r="U6" s="150" t="s">
        <v>204</v>
      </c>
      <c r="V6" s="150" t="s">
        <v>205</v>
      </c>
      <c r="W6" s="150" t="s">
        <v>205</v>
      </c>
      <c r="X6" s="150" t="s">
        <v>205</v>
      </c>
      <c r="Y6" s="150" t="s">
        <v>204</v>
      </c>
      <c r="Z6" s="151" t="s">
        <v>205</v>
      </c>
    </row>
    <row r="7" spans="1:26" x14ac:dyDescent="0.3">
      <c r="A7" s="149" t="s">
        <v>263</v>
      </c>
      <c r="B7" s="47" t="s">
        <v>264</v>
      </c>
      <c r="C7" s="150" t="s">
        <v>204</v>
      </c>
      <c r="D7" s="150">
        <v>3.7699999999999997E-2</v>
      </c>
      <c r="E7" s="150" t="s">
        <v>204</v>
      </c>
      <c r="F7" s="150">
        <v>2.64E-2</v>
      </c>
      <c r="G7" s="150" t="s">
        <v>204</v>
      </c>
      <c r="H7" s="150" t="s">
        <v>205</v>
      </c>
      <c r="I7" s="150" t="s">
        <v>205</v>
      </c>
      <c r="J7" s="150" t="s">
        <v>205</v>
      </c>
      <c r="K7" s="150">
        <v>2.5700000000000001E-2</v>
      </c>
      <c r="L7" s="150" t="s">
        <v>204</v>
      </c>
      <c r="M7" s="150" t="s">
        <v>205</v>
      </c>
      <c r="N7" s="150">
        <v>2.1700000000000001E-2</v>
      </c>
      <c r="O7" s="150" t="s">
        <v>205</v>
      </c>
      <c r="P7" s="150" t="s">
        <v>205</v>
      </c>
      <c r="Q7" s="150" t="s">
        <v>205</v>
      </c>
      <c r="R7" s="150" t="s">
        <v>205</v>
      </c>
      <c r="S7" s="150" t="s">
        <v>205</v>
      </c>
      <c r="T7" s="150" t="s">
        <v>205</v>
      </c>
      <c r="U7" s="150" t="s">
        <v>204</v>
      </c>
      <c r="V7" s="150" t="s">
        <v>205</v>
      </c>
      <c r="W7" s="150" t="s">
        <v>205</v>
      </c>
      <c r="X7" s="150" t="s">
        <v>205</v>
      </c>
      <c r="Y7" s="150" t="s">
        <v>204</v>
      </c>
      <c r="Z7" s="151" t="s">
        <v>205</v>
      </c>
    </row>
    <row r="8" spans="1:26" x14ac:dyDescent="0.3">
      <c r="A8" s="149" t="s">
        <v>265</v>
      </c>
      <c r="B8" s="47" t="s">
        <v>266</v>
      </c>
      <c r="C8" s="150" t="s">
        <v>204</v>
      </c>
      <c r="D8" s="150">
        <v>168.12880000000001</v>
      </c>
      <c r="E8" s="150">
        <v>66.243099999999998</v>
      </c>
      <c r="F8" s="150">
        <v>101.4425</v>
      </c>
      <c r="G8" s="150" t="s">
        <v>204</v>
      </c>
      <c r="H8" s="150">
        <v>56.116900000000001</v>
      </c>
      <c r="I8" s="150">
        <v>51.499000000000002</v>
      </c>
      <c r="J8" s="150">
        <v>33.817500000000003</v>
      </c>
      <c r="K8" s="150">
        <v>50.823099999999997</v>
      </c>
      <c r="L8" s="150" t="s">
        <v>204</v>
      </c>
      <c r="M8" s="150" t="s">
        <v>205</v>
      </c>
      <c r="N8" s="150">
        <v>1.8441000000000001</v>
      </c>
      <c r="O8" s="150" t="s">
        <v>205</v>
      </c>
      <c r="P8" s="150" t="s">
        <v>205</v>
      </c>
      <c r="Q8" s="150" t="s">
        <v>205</v>
      </c>
      <c r="R8" s="150" t="s">
        <v>205</v>
      </c>
      <c r="S8" s="150">
        <v>1.9160999999999999</v>
      </c>
      <c r="T8" s="150" t="s">
        <v>205</v>
      </c>
      <c r="U8" s="150" t="s">
        <v>204</v>
      </c>
      <c r="V8" s="150" t="s">
        <v>205</v>
      </c>
      <c r="W8" s="150" t="s">
        <v>205</v>
      </c>
      <c r="X8" s="150" t="s">
        <v>205</v>
      </c>
      <c r="Y8" s="150" t="s">
        <v>204</v>
      </c>
      <c r="Z8" s="150">
        <v>0.54969999999999997</v>
      </c>
    </row>
    <row r="9" spans="1:26" x14ac:dyDescent="0.3">
      <c r="A9" s="149" t="s">
        <v>267</v>
      </c>
      <c r="B9" s="47" t="s">
        <v>268</v>
      </c>
      <c r="C9" s="150" t="s">
        <v>204</v>
      </c>
      <c r="D9" s="150">
        <v>0.1157</v>
      </c>
      <c r="E9" s="150">
        <v>7.1599999999999997E-2</v>
      </c>
      <c r="F9" s="150">
        <v>0.1007</v>
      </c>
      <c r="G9" s="150" t="s">
        <v>204</v>
      </c>
      <c r="H9" s="150">
        <v>8.7300000000000003E-2</v>
      </c>
      <c r="I9" s="150">
        <v>0.1024</v>
      </c>
      <c r="J9" s="150">
        <v>6.3399999999999998E-2</v>
      </c>
      <c r="K9" s="150">
        <v>0.14630000000000001</v>
      </c>
      <c r="L9" s="150" t="s">
        <v>204</v>
      </c>
      <c r="M9" s="150" t="s">
        <v>205</v>
      </c>
      <c r="N9" s="150" t="s">
        <v>205</v>
      </c>
      <c r="O9" s="150" t="s">
        <v>205</v>
      </c>
      <c r="P9" s="150" t="s">
        <v>205</v>
      </c>
      <c r="Q9" s="150" t="s">
        <v>205</v>
      </c>
      <c r="R9" s="150" t="s">
        <v>205</v>
      </c>
      <c r="S9" s="150" t="s">
        <v>205</v>
      </c>
      <c r="T9" s="150" t="s">
        <v>205</v>
      </c>
      <c r="U9" s="150" t="s">
        <v>204</v>
      </c>
      <c r="V9" s="150" t="s">
        <v>205</v>
      </c>
      <c r="W9" s="150" t="s">
        <v>205</v>
      </c>
      <c r="X9" s="150" t="s">
        <v>205</v>
      </c>
      <c r="Y9" s="150" t="s">
        <v>204</v>
      </c>
      <c r="Z9" s="151" t="s">
        <v>205</v>
      </c>
    </row>
    <row r="10" spans="1:26" x14ac:dyDescent="0.3">
      <c r="A10" s="149" t="s">
        <v>269</v>
      </c>
      <c r="B10" s="47" t="s">
        <v>270</v>
      </c>
      <c r="C10" s="150" t="s">
        <v>204</v>
      </c>
      <c r="D10" s="150">
        <v>0.1217</v>
      </c>
      <c r="E10" s="150">
        <v>5.8599999999999999E-2</v>
      </c>
      <c r="F10" s="150">
        <v>8.3199999999999996E-2</v>
      </c>
      <c r="G10" s="150" t="s">
        <v>204</v>
      </c>
      <c r="H10" s="150">
        <v>6.08E-2</v>
      </c>
      <c r="I10" s="150">
        <v>6.3899999999999998E-2</v>
      </c>
      <c r="J10" s="150">
        <v>4.1300000000000003E-2</v>
      </c>
      <c r="K10" s="150">
        <v>8.5699999999999998E-2</v>
      </c>
      <c r="L10" s="150" t="s">
        <v>204</v>
      </c>
      <c r="M10" s="150" t="s">
        <v>205</v>
      </c>
      <c r="N10" s="150" t="s">
        <v>205</v>
      </c>
      <c r="O10" s="150" t="s">
        <v>205</v>
      </c>
      <c r="P10" s="150" t="s">
        <v>205</v>
      </c>
      <c r="Q10" s="150" t="s">
        <v>205</v>
      </c>
      <c r="R10" s="150" t="s">
        <v>205</v>
      </c>
      <c r="S10" s="150" t="s">
        <v>205</v>
      </c>
      <c r="T10" s="150" t="s">
        <v>205</v>
      </c>
      <c r="U10" s="150" t="s">
        <v>204</v>
      </c>
      <c r="V10" s="150" t="s">
        <v>205</v>
      </c>
      <c r="W10" s="150" t="s">
        <v>205</v>
      </c>
      <c r="X10" s="150" t="s">
        <v>205</v>
      </c>
      <c r="Y10" s="150" t="s">
        <v>204</v>
      </c>
      <c r="Z10" s="151" t="s">
        <v>205</v>
      </c>
    </row>
    <row r="11" spans="1:26" x14ac:dyDescent="0.3">
      <c r="A11" s="149" t="s">
        <v>271</v>
      </c>
      <c r="B11" s="47" t="s">
        <v>272</v>
      </c>
      <c r="C11" s="150" t="s">
        <v>204</v>
      </c>
      <c r="D11" s="150">
        <v>101.992</v>
      </c>
      <c r="E11" s="150">
        <v>41.371400000000001</v>
      </c>
      <c r="F11" s="150">
        <v>59.396099999999997</v>
      </c>
      <c r="G11" s="150" t="s">
        <v>204</v>
      </c>
      <c r="H11" s="150">
        <v>34.167099999999998</v>
      </c>
      <c r="I11" s="150">
        <v>30.287600000000001</v>
      </c>
      <c r="J11" s="150">
        <v>14.905900000000001</v>
      </c>
      <c r="K11" s="150">
        <v>27.301100000000002</v>
      </c>
      <c r="L11" s="150" t="s">
        <v>204</v>
      </c>
      <c r="M11" s="150" t="s">
        <v>205</v>
      </c>
      <c r="N11" s="150">
        <v>0.45150000000000001</v>
      </c>
      <c r="O11" s="150" t="s">
        <v>205</v>
      </c>
      <c r="P11" s="150" t="s">
        <v>205</v>
      </c>
      <c r="Q11" s="150" t="s">
        <v>205</v>
      </c>
      <c r="R11" s="150" t="s">
        <v>205</v>
      </c>
      <c r="S11" s="150">
        <v>0.44829999999999998</v>
      </c>
      <c r="T11" s="150" t="s">
        <v>205</v>
      </c>
      <c r="U11" s="150" t="s">
        <v>204</v>
      </c>
      <c r="V11" s="150" t="s">
        <v>205</v>
      </c>
      <c r="W11" s="150" t="s">
        <v>205</v>
      </c>
      <c r="X11" s="150" t="s">
        <v>205</v>
      </c>
      <c r="Y11" s="150" t="s">
        <v>204</v>
      </c>
      <c r="Z11" s="151">
        <v>0.25519999999999998</v>
      </c>
    </row>
    <row r="12" spans="1:26" x14ac:dyDescent="0.3">
      <c r="A12" s="149" t="s">
        <v>273</v>
      </c>
      <c r="B12" s="47" t="s">
        <v>274</v>
      </c>
      <c r="C12" s="150" t="s">
        <v>204</v>
      </c>
      <c r="D12" s="150">
        <v>0.1978</v>
      </c>
      <c r="E12" s="150">
        <v>0.12640000000000001</v>
      </c>
      <c r="F12" s="150">
        <v>0.63639999999999997</v>
      </c>
      <c r="G12" s="150" t="s">
        <v>204</v>
      </c>
      <c r="H12" s="150">
        <v>12.1191</v>
      </c>
      <c r="I12" s="150">
        <v>14.127800000000001</v>
      </c>
      <c r="J12" s="150">
        <v>6.6424000000000003</v>
      </c>
      <c r="K12" s="150">
        <v>11.471500000000001</v>
      </c>
      <c r="L12" s="150" t="s">
        <v>204</v>
      </c>
      <c r="M12" s="150" t="s">
        <v>205</v>
      </c>
      <c r="N12" s="150">
        <v>0.22550000000000001</v>
      </c>
      <c r="O12" s="150" t="s">
        <v>205</v>
      </c>
      <c r="P12" s="150" t="s">
        <v>205</v>
      </c>
      <c r="Q12" s="150" t="s">
        <v>205</v>
      </c>
      <c r="R12" s="150" t="s">
        <v>205</v>
      </c>
      <c r="S12" s="150">
        <v>0.2969</v>
      </c>
      <c r="T12" s="150" t="s">
        <v>205</v>
      </c>
      <c r="U12" s="150" t="s">
        <v>204</v>
      </c>
      <c r="V12" s="150" t="s">
        <v>205</v>
      </c>
      <c r="W12" s="150" t="s">
        <v>205</v>
      </c>
      <c r="X12" s="150" t="s">
        <v>205</v>
      </c>
      <c r="Y12" s="150" t="s">
        <v>204</v>
      </c>
      <c r="Z12" s="151">
        <v>0.1017</v>
      </c>
    </row>
    <row r="13" spans="1:26" x14ac:dyDescent="0.3">
      <c r="A13" s="149" t="s">
        <v>275</v>
      </c>
      <c r="B13" s="47" t="s">
        <v>276</v>
      </c>
      <c r="C13" s="150" t="s">
        <v>204</v>
      </c>
      <c r="D13" s="150">
        <v>0.12189999999999999</v>
      </c>
      <c r="E13" s="150">
        <v>6.4500000000000002E-2</v>
      </c>
      <c r="F13" s="150">
        <v>0.1234</v>
      </c>
      <c r="G13" s="150" t="s">
        <v>204</v>
      </c>
      <c r="H13" s="150">
        <v>3.5305</v>
      </c>
      <c r="I13" s="150">
        <v>11.0054</v>
      </c>
      <c r="J13" s="150">
        <v>6.6551</v>
      </c>
      <c r="K13" s="150">
        <v>11.159700000000001</v>
      </c>
      <c r="L13" s="150" t="s">
        <v>204</v>
      </c>
      <c r="M13" s="150" t="s">
        <v>205</v>
      </c>
      <c r="N13" s="150">
        <v>0.30680000000000002</v>
      </c>
      <c r="O13" s="150" t="s">
        <v>205</v>
      </c>
      <c r="P13" s="150" t="s">
        <v>205</v>
      </c>
      <c r="Q13" s="150" t="s">
        <v>205</v>
      </c>
      <c r="R13" s="150" t="s">
        <v>205</v>
      </c>
      <c r="S13" s="150">
        <v>0.32819999999999999</v>
      </c>
      <c r="T13" s="150" t="s">
        <v>205</v>
      </c>
      <c r="U13" s="150" t="s">
        <v>204</v>
      </c>
      <c r="V13" s="150" t="s">
        <v>205</v>
      </c>
      <c r="W13" s="150" t="s">
        <v>205</v>
      </c>
      <c r="X13" s="150" t="s">
        <v>205</v>
      </c>
      <c r="Y13" s="150" t="s">
        <v>204</v>
      </c>
      <c r="Z13" s="151">
        <v>0.1187</v>
      </c>
    </row>
    <row r="14" spans="1:26" x14ac:dyDescent="0.3">
      <c r="A14" s="149" t="s">
        <v>277</v>
      </c>
      <c r="B14" s="47" t="s">
        <v>278</v>
      </c>
      <c r="C14" s="150" t="s">
        <v>204</v>
      </c>
      <c r="D14" s="150">
        <v>64.999099999999999</v>
      </c>
      <c r="E14" s="150">
        <v>28.188099999999999</v>
      </c>
      <c r="F14" s="150">
        <v>40.157800000000002</v>
      </c>
      <c r="G14" s="150" t="s">
        <v>204</v>
      </c>
      <c r="H14" s="150">
        <v>25.817799999999998</v>
      </c>
      <c r="I14" s="150">
        <v>21.822199999999999</v>
      </c>
      <c r="J14" s="150">
        <v>10.3956</v>
      </c>
      <c r="K14" s="150">
        <v>18.4453</v>
      </c>
      <c r="L14" s="150" t="s">
        <v>204</v>
      </c>
      <c r="M14" s="150" t="s">
        <v>205</v>
      </c>
      <c r="N14" s="150">
        <v>0.38750000000000001</v>
      </c>
      <c r="O14" s="150" t="s">
        <v>205</v>
      </c>
      <c r="P14" s="150" t="s">
        <v>205</v>
      </c>
      <c r="Q14" s="150" t="s">
        <v>205</v>
      </c>
      <c r="R14" s="150" t="s">
        <v>205</v>
      </c>
      <c r="S14" s="150">
        <v>0.2641</v>
      </c>
      <c r="T14" s="150" t="s">
        <v>205</v>
      </c>
      <c r="U14" s="150" t="s">
        <v>204</v>
      </c>
      <c r="V14" s="150" t="s">
        <v>205</v>
      </c>
      <c r="W14" s="150" t="s">
        <v>205</v>
      </c>
      <c r="X14" s="150" t="s">
        <v>205</v>
      </c>
      <c r="Y14" s="150" t="s">
        <v>204</v>
      </c>
      <c r="Z14" s="151">
        <v>0.1988</v>
      </c>
    </row>
    <row r="15" spans="1:26" x14ac:dyDescent="0.3">
      <c r="A15" s="149" t="s">
        <v>279</v>
      </c>
      <c r="B15" s="47" t="s">
        <v>280</v>
      </c>
      <c r="C15" s="150" t="s">
        <v>204</v>
      </c>
      <c r="D15" s="150">
        <v>0.38629999999999998</v>
      </c>
      <c r="E15" s="150">
        <v>0.37290000000000001</v>
      </c>
      <c r="F15" s="150">
        <v>1.7803</v>
      </c>
      <c r="G15" s="150" t="s">
        <v>204</v>
      </c>
      <c r="H15" s="150">
        <v>12.6175</v>
      </c>
      <c r="I15" s="150">
        <v>7.9402999999999997</v>
      </c>
      <c r="J15" s="150">
        <v>2.7557</v>
      </c>
      <c r="K15" s="150">
        <v>4.8776999999999999</v>
      </c>
      <c r="L15" s="150" t="s">
        <v>204</v>
      </c>
      <c r="M15" s="150" t="s">
        <v>205</v>
      </c>
      <c r="N15" s="150">
        <v>5.8099999999999999E-2</v>
      </c>
      <c r="O15" s="150" t="s">
        <v>205</v>
      </c>
      <c r="P15" s="150" t="s">
        <v>205</v>
      </c>
      <c r="Q15" s="150" t="s">
        <v>205</v>
      </c>
      <c r="R15" s="150" t="s">
        <v>205</v>
      </c>
      <c r="S15" s="150">
        <v>7.0599999999999996E-2</v>
      </c>
      <c r="T15" s="150" t="s">
        <v>205</v>
      </c>
      <c r="U15" s="150" t="s">
        <v>204</v>
      </c>
      <c r="V15" s="150" t="s">
        <v>205</v>
      </c>
      <c r="W15" s="150" t="s">
        <v>205</v>
      </c>
      <c r="X15" s="150" t="s">
        <v>205</v>
      </c>
      <c r="Y15" s="150" t="s">
        <v>204</v>
      </c>
      <c r="Z15" s="151">
        <v>4.4200000000000003E-2</v>
      </c>
    </row>
    <row r="16" spans="1:26" x14ac:dyDescent="0.3">
      <c r="A16" s="149" t="s">
        <v>281</v>
      </c>
      <c r="B16" s="47" t="s">
        <v>282</v>
      </c>
      <c r="C16" s="150" t="s">
        <v>204</v>
      </c>
      <c r="D16" s="150">
        <v>0.1164</v>
      </c>
      <c r="E16" s="150">
        <v>7.5999999999999998E-2</v>
      </c>
      <c r="F16" s="150">
        <v>0.15790000000000001</v>
      </c>
      <c r="G16" s="150" t="s">
        <v>204</v>
      </c>
      <c r="H16" s="150">
        <v>3.8365</v>
      </c>
      <c r="I16" s="150">
        <v>5.5141999999999998</v>
      </c>
      <c r="J16" s="150">
        <v>2.4422000000000001</v>
      </c>
      <c r="K16" s="150">
        <v>4.0587</v>
      </c>
      <c r="L16" s="150" t="s">
        <v>204</v>
      </c>
      <c r="M16" s="150" t="s">
        <v>205</v>
      </c>
      <c r="N16" s="150" t="s">
        <v>205</v>
      </c>
      <c r="O16" s="150" t="s">
        <v>205</v>
      </c>
      <c r="P16" s="150" t="s">
        <v>205</v>
      </c>
      <c r="Q16" s="150" t="s">
        <v>205</v>
      </c>
      <c r="R16" s="150" t="s">
        <v>205</v>
      </c>
      <c r="S16" s="150">
        <v>3.0800000000000001E-2</v>
      </c>
      <c r="T16" s="150" t="s">
        <v>205</v>
      </c>
      <c r="U16" s="150" t="s">
        <v>204</v>
      </c>
      <c r="V16" s="150" t="s">
        <v>205</v>
      </c>
      <c r="W16" s="150" t="s">
        <v>205</v>
      </c>
      <c r="X16" s="150" t="s">
        <v>205</v>
      </c>
      <c r="Y16" s="150" t="s">
        <v>204</v>
      </c>
      <c r="Z16" s="151" t="s">
        <v>205</v>
      </c>
    </row>
    <row r="17" spans="1:26" x14ac:dyDescent="0.3">
      <c r="A17" s="149" t="s">
        <v>283</v>
      </c>
      <c r="B17" s="47" t="s">
        <v>284</v>
      </c>
      <c r="C17" s="150" t="s">
        <v>204</v>
      </c>
      <c r="D17" s="150">
        <v>43.150500000000001</v>
      </c>
      <c r="E17" s="150">
        <v>19.279399999999999</v>
      </c>
      <c r="F17" s="150">
        <v>28.0092</v>
      </c>
      <c r="G17" s="150" t="s">
        <v>204</v>
      </c>
      <c r="H17" s="150">
        <v>19.4068</v>
      </c>
      <c r="I17" s="150">
        <v>16.892399999999999</v>
      </c>
      <c r="J17" s="150">
        <v>11.232100000000001</v>
      </c>
      <c r="K17" s="150">
        <v>17.261700000000001</v>
      </c>
      <c r="L17" s="150" t="s">
        <v>204</v>
      </c>
      <c r="M17" s="150" t="s">
        <v>205</v>
      </c>
      <c r="N17" s="150">
        <v>1.4302999999999999</v>
      </c>
      <c r="O17" s="150" t="s">
        <v>205</v>
      </c>
      <c r="P17" s="150" t="s">
        <v>205</v>
      </c>
      <c r="Q17" s="150" t="s">
        <v>205</v>
      </c>
      <c r="R17" s="150" t="s">
        <v>205</v>
      </c>
      <c r="S17" s="150">
        <v>1.4984</v>
      </c>
      <c r="T17" s="150" t="s">
        <v>205</v>
      </c>
      <c r="U17" s="150" t="s">
        <v>204</v>
      </c>
      <c r="V17" s="150" t="s">
        <v>205</v>
      </c>
      <c r="W17" s="150" t="s">
        <v>205</v>
      </c>
      <c r="X17" s="150" t="s">
        <v>205</v>
      </c>
      <c r="Y17" s="150" t="s">
        <v>204</v>
      </c>
      <c r="Z17" s="151">
        <v>0.55259999999999998</v>
      </c>
    </row>
    <row r="18" spans="1:26" x14ac:dyDescent="0.3">
      <c r="A18" s="149" t="s">
        <v>285</v>
      </c>
      <c r="B18" s="47" t="s">
        <v>286</v>
      </c>
      <c r="C18" s="150" t="s">
        <v>204</v>
      </c>
      <c r="D18" s="150">
        <v>0.86250000000000004</v>
      </c>
      <c r="E18" s="150">
        <v>0.8831</v>
      </c>
      <c r="F18" s="150">
        <v>3.0779000000000001</v>
      </c>
      <c r="G18" s="150" t="s">
        <v>204</v>
      </c>
      <c r="H18" s="150">
        <v>7.2077999999999998</v>
      </c>
      <c r="I18" s="150">
        <v>4.3898000000000001</v>
      </c>
      <c r="J18" s="172">
        <v>1.6335999999999999</v>
      </c>
      <c r="K18" s="150">
        <v>2.5095000000000001</v>
      </c>
      <c r="L18" s="150" t="s">
        <v>204</v>
      </c>
      <c r="M18" s="150" t="s">
        <v>205</v>
      </c>
      <c r="N18" s="150">
        <v>5.62E-2</v>
      </c>
      <c r="O18" s="150" t="s">
        <v>205</v>
      </c>
      <c r="P18" s="150" t="s">
        <v>205</v>
      </c>
      <c r="Q18" s="150" t="s">
        <v>205</v>
      </c>
      <c r="R18" s="150" t="s">
        <v>205</v>
      </c>
      <c r="S18" s="150">
        <v>4.07E-2</v>
      </c>
      <c r="T18" s="150" t="s">
        <v>205</v>
      </c>
      <c r="U18" s="150" t="s">
        <v>204</v>
      </c>
      <c r="V18" s="150" t="s">
        <v>205</v>
      </c>
      <c r="W18" s="150" t="s">
        <v>205</v>
      </c>
      <c r="X18" s="150" t="s">
        <v>205</v>
      </c>
      <c r="Y18" s="150" t="s">
        <v>204</v>
      </c>
      <c r="Z18" s="150">
        <v>3.0700000000000002E-2</v>
      </c>
    </row>
    <row r="19" spans="1:26" x14ac:dyDescent="0.3">
      <c r="A19" s="149" t="s">
        <v>287</v>
      </c>
      <c r="B19" s="47" t="s">
        <v>288</v>
      </c>
      <c r="C19" s="150" t="s">
        <v>204</v>
      </c>
      <c r="D19" s="150">
        <v>0.1182</v>
      </c>
      <c r="E19" s="150">
        <v>5.8099999999999999E-2</v>
      </c>
      <c r="F19" s="150">
        <v>0.2097</v>
      </c>
      <c r="G19" s="150" t="s">
        <v>204</v>
      </c>
      <c r="H19" s="150">
        <v>5.0366999999999997</v>
      </c>
      <c r="I19" s="150">
        <v>4.8258999999999999</v>
      </c>
      <c r="J19" s="172">
        <v>1.8459000000000001</v>
      </c>
      <c r="K19" s="150">
        <v>3.2662</v>
      </c>
      <c r="L19" s="150" t="s">
        <v>204</v>
      </c>
      <c r="M19" s="150" t="s">
        <v>205</v>
      </c>
      <c r="N19" s="150" t="s">
        <v>205</v>
      </c>
      <c r="O19" s="150" t="s">
        <v>205</v>
      </c>
      <c r="P19" s="150" t="s">
        <v>205</v>
      </c>
      <c r="Q19" s="150" t="s">
        <v>205</v>
      </c>
      <c r="R19" s="150" t="s">
        <v>205</v>
      </c>
      <c r="S19" s="150">
        <v>3.9300000000000002E-2</v>
      </c>
      <c r="T19" s="150" t="s">
        <v>205</v>
      </c>
      <c r="U19" s="150" t="s">
        <v>204</v>
      </c>
      <c r="V19" s="150" t="s">
        <v>205</v>
      </c>
      <c r="W19" s="150" t="s">
        <v>205</v>
      </c>
      <c r="X19" s="150" t="s">
        <v>205</v>
      </c>
      <c r="Y19" s="150" t="s">
        <v>204</v>
      </c>
      <c r="Z19" s="150">
        <v>3.04E-2</v>
      </c>
    </row>
    <row r="20" spans="1:26" x14ac:dyDescent="0.3">
      <c r="A20" s="149" t="s">
        <v>289</v>
      </c>
      <c r="B20" s="47" t="s">
        <v>290</v>
      </c>
      <c r="C20" s="150" t="s">
        <v>204</v>
      </c>
      <c r="D20" s="150">
        <v>45.384999999999998</v>
      </c>
      <c r="E20" s="150">
        <v>21.1708</v>
      </c>
      <c r="F20" s="150">
        <v>30.2332</v>
      </c>
      <c r="G20" s="150" t="s">
        <v>204</v>
      </c>
      <c r="H20" s="150">
        <v>18.008299999999998</v>
      </c>
      <c r="I20" s="150">
        <v>13.872400000000001</v>
      </c>
      <c r="J20" s="150">
        <v>7.7591999999999999</v>
      </c>
      <c r="K20" s="150">
        <v>12.4375</v>
      </c>
      <c r="L20" s="150" t="s">
        <v>204</v>
      </c>
      <c r="M20" s="150" t="s">
        <v>205</v>
      </c>
      <c r="N20" s="150">
        <v>0.9103</v>
      </c>
      <c r="O20" s="150" t="s">
        <v>205</v>
      </c>
      <c r="P20" s="150" t="s">
        <v>205</v>
      </c>
      <c r="Q20" s="150" t="s">
        <v>205</v>
      </c>
      <c r="R20" s="150" t="s">
        <v>205</v>
      </c>
      <c r="S20" s="150">
        <v>0.60250000000000004</v>
      </c>
      <c r="T20" s="150" t="s">
        <v>205</v>
      </c>
      <c r="U20" s="150" t="s">
        <v>204</v>
      </c>
      <c r="V20" s="150" t="s">
        <v>205</v>
      </c>
      <c r="W20" s="150" t="s">
        <v>205</v>
      </c>
      <c r="X20" s="150" t="s">
        <v>205</v>
      </c>
      <c r="Y20" s="150" t="s">
        <v>204</v>
      </c>
      <c r="Z20" s="151">
        <v>0.28910000000000002</v>
      </c>
    </row>
    <row r="21" spans="1:26" x14ac:dyDescent="0.3">
      <c r="A21" s="149" t="s">
        <v>291</v>
      </c>
      <c r="B21" s="47" t="s">
        <v>292</v>
      </c>
      <c r="C21" s="150" t="s">
        <v>204</v>
      </c>
      <c r="D21" s="150">
        <v>4.8562000000000003</v>
      </c>
      <c r="E21" s="150">
        <v>4.2855999999999996</v>
      </c>
      <c r="F21" s="150">
        <v>11.7532</v>
      </c>
      <c r="G21" s="150" t="s">
        <v>204</v>
      </c>
      <c r="H21" s="150">
        <v>14.6877</v>
      </c>
      <c r="I21" s="150">
        <v>5.6108000000000002</v>
      </c>
      <c r="J21" s="150">
        <v>1.4837</v>
      </c>
      <c r="K21" s="150">
        <v>2.6669</v>
      </c>
      <c r="L21" s="150" t="s">
        <v>204</v>
      </c>
      <c r="M21" s="150" t="s">
        <v>205</v>
      </c>
      <c r="N21" s="150">
        <v>3.0200000000000001E-2</v>
      </c>
      <c r="O21" s="150" t="s">
        <v>205</v>
      </c>
      <c r="P21" s="150" t="s">
        <v>205</v>
      </c>
      <c r="Q21" s="150" t="s">
        <v>205</v>
      </c>
      <c r="R21" s="150" t="s">
        <v>205</v>
      </c>
      <c r="S21" s="150">
        <v>2.07E-2</v>
      </c>
      <c r="T21" s="150" t="s">
        <v>205</v>
      </c>
      <c r="U21" s="150" t="s">
        <v>204</v>
      </c>
      <c r="V21" s="150" t="s">
        <v>205</v>
      </c>
      <c r="W21" s="150" t="s">
        <v>205</v>
      </c>
      <c r="X21" s="150" t="s">
        <v>205</v>
      </c>
      <c r="Y21" s="150" t="s">
        <v>204</v>
      </c>
      <c r="Z21" s="151">
        <v>3.6700000000000003E-2</v>
      </c>
    </row>
    <row r="22" spans="1:26" x14ac:dyDescent="0.3">
      <c r="A22" s="149" t="s">
        <v>293</v>
      </c>
      <c r="B22" s="47" t="s">
        <v>294</v>
      </c>
      <c r="C22" s="150" t="s">
        <v>204</v>
      </c>
      <c r="D22" s="150">
        <v>0.16830000000000001</v>
      </c>
      <c r="E22" s="150">
        <v>0.18190000000000001</v>
      </c>
      <c r="F22" s="150">
        <v>0.87580000000000002</v>
      </c>
      <c r="G22" s="150" t="s">
        <v>204</v>
      </c>
      <c r="H22" s="150">
        <v>6.7130000000000001</v>
      </c>
      <c r="I22" s="150">
        <v>3.9159999999999999</v>
      </c>
      <c r="J22" s="150">
        <v>1.1327</v>
      </c>
      <c r="K22" s="150">
        <v>2.0205000000000002</v>
      </c>
      <c r="L22" s="150" t="s">
        <v>204</v>
      </c>
      <c r="M22" s="150" t="s">
        <v>205</v>
      </c>
      <c r="N22" s="150" t="s">
        <v>205</v>
      </c>
      <c r="O22" s="150" t="s">
        <v>205</v>
      </c>
      <c r="P22" s="150" t="s">
        <v>205</v>
      </c>
      <c r="Q22" s="150" t="s">
        <v>205</v>
      </c>
      <c r="R22" s="150" t="s">
        <v>205</v>
      </c>
      <c r="S22" s="150" t="s">
        <v>205</v>
      </c>
      <c r="T22" s="150" t="s">
        <v>205</v>
      </c>
      <c r="U22" s="150" t="s">
        <v>204</v>
      </c>
      <c r="V22" s="150" t="s">
        <v>205</v>
      </c>
      <c r="W22" s="150" t="s">
        <v>205</v>
      </c>
      <c r="X22" s="150" t="s">
        <v>205</v>
      </c>
      <c r="Y22" s="150" t="s">
        <v>204</v>
      </c>
      <c r="Z22" s="151" t="s">
        <v>205</v>
      </c>
    </row>
    <row r="23" spans="1:26" x14ac:dyDescent="0.3">
      <c r="A23" s="149" t="s">
        <v>295</v>
      </c>
      <c r="B23" s="47" t="s">
        <v>296</v>
      </c>
      <c r="C23" s="150" t="s">
        <v>204</v>
      </c>
      <c r="D23" s="150">
        <v>47.431600000000003</v>
      </c>
      <c r="E23" s="150">
        <v>21.387</v>
      </c>
      <c r="F23" s="150">
        <v>30.509799999999998</v>
      </c>
      <c r="G23" s="150" t="s">
        <v>204</v>
      </c>
      <c r="H23" s="150">
        <v>16.521100000000001</v>
      </c>
      <c r="I23" s="150">
        <v>11.5306</v>
      </c>
      <c r="J23" s="150">
        <v>5.8601000000000001</v>
      </c>
      <c r="K23" s="151">
        <v>9.0485000000000007</v>
      </c>
      <c r="L23" s="150" t="s">
        <v>204</v>
      </c>
      <c r="M23" s="150" t="s">
        <v>205</v>
      </c>
      <c r="N23" s="150">
        <v>0.48180000000000001</v>
      </c>
      <c r="O23" s="150" t="s">
        <v>205</v>
      </c>
      <c r="P23" s="150" t="s">
        <v>205</v>
      </c>
      <c r="Q23" s="150" t="s">
        <v>205</v>
      </c>
      <c r="R23" s="150" t="s">
        <v>205</v>
      </c>
      <c r="S23" s="150">
        <v>0.33239999999999997</v>
      </c>
      <c r="T23" s="150" t="s">
        <v>205</v>
      </c>
      <c r="U23" s="150" t="s">
        <v>204</v>
      </c>
      <c r="V23" s="150" t="s">
        <v>205</v>
      </c>
      <c r="W23" s="150" t="s">
        <v>205</v>
      </c>
      <c r="X23" s="150" t="s">
        <v>205</v>
      </c>
      <c r="Y23" s="150" t="s">
        <v>204</v>
      </c>
      <c r="Z23" s="151">
        <v>0.22700000000000001</v>
      </c>
    </row>
    <row r="24" spans="1:26" x14ac:dyDescent="0.3">
      <c r="A24" s="149" t="s">
        <v>297</v>
      </c>
      <c r="B24" s="47" t="s">
        <v>298</v>
      </c>
      <c r="C24" s="150" t="s">
        <v>204</v>
      </c>
      <c r="D24" s="150">
        <v>4.7789999999999999</v>
      </c>
      <c r="E24" s="150">
        <v>3.7225999999999999</v>
      </c>
      <c r="F24" s="150">
        <v>9.9474999999999998</v>
      </c>
      <c r="G24" s="150" t="s">
        <v>204</v>
      </c>
      <c r="H24" s="150">
        <v>9.4953000000000003</v>
      </c>
      <c r="I24" s="150">
        <v>3.6362000000000001</v>
      </c>
      <c r="J24" s="150">
        <v>0.90529999999999999</v>
      </c>
      <c r="K24" s="150">
        <v>1.7613000000000001</v>
      </c>
      <c r="L24" s="150" t="s">
        <v>204</v>
      </c>
      <c r="M24" s="150" t="s">
        <v>205</v>
      </c>
      <c r="N24" s="150">
        <v>3.2800000000000003E-2</v>
      </c>
      <c r="O24" s="150" t="s">
        <v>205</v>
      </c>
      <c r="P24" s="150" t="s">
        <v>205</v>
      </c>
      <c r="Q24" s="150" t="s">
        <v>205</v>
      </c>
      <c r="R24" s="150" t="s">
        <v>205</v>
      </c>
      <c r="S24" s="150">
        <v>2.18E-2</v>
      </c>
      <c r="T24" s="150" t="s">
        <v>205</v>
      </c>
      <c r="U24" s="150" t="s">
        <v>204</v>
      </c>
      <c r="V24" s="150" t="s">
        <v>205</v>
      </c>
      <c r="W24" s="150" t="s">
        <v>205</v>
      </c>
      <c r="X24" s="150" t="s">
        <v>205</v>
      </c>
      <c r="Y24" s="150" t="s">
        <v>204</v>
      </c>
      <c r="Z24" s="151">
        <v>3.3700000000000001E-2</v>
      </c>
    </row>
    <row r="25" spans="1:26" x14ac:dyDescent="0.3">
      <c r="A25" s="149" t="s">
        <v>299</v>
      </c>
      <c r="B25" s="47" t="s">
        <v>300</v>
      </c>
      <c r="C25" s="150" t="s">
        <v>204</v>
      </c>
      <c r="D25" s="150">
        <v>0.2009</v>
      </c>
      <c r="E25" s="150">
        <v>0.31409999999999999</v>
      </c>
      <c r="F25" s="150">
        <v>1.4858</v>
      </c>
      <c r="G25" s="150" t="s">
        <v>204</v>
      </c>
      <c r="H25" s="150">
        <v>8.5139999999999993</v>
      </c>
      <c r="I25" s="150">
        <v>4.5693999999999999</v>
      </c>
      <c r="J25" s="150">
        <v>1.3985000000000001</v>
      </c>
      <c r="K25" s="150">
        <v>2.5667</v>
      </c>
      <c r="L25" s="150" t="s">
        <v>204</v>
      </c>
      <c r="M25" s="150" t="s">
        <v>205</v>
      </c>
      <c r="N25" s="150" t="s">
        <v>205</v>
      </c>
      <c r="O25" s="150" t="s">
        <v>205</v>
      </c>
      <c r="P25" s="150" t="s">
        <v>205</v>
      </c>
      <c r="Q25" s="150" t="s">
        <v>205</v>
      </c>
      <c r="R25" s="150" t="s">
        <v>205</v>
      </c>
      <c r="S25" s="150">
        <v>2.3199999999999998E-2</v>
      </c>
      <c r="T25" s="150" t="s">
        <v>205</v>
      </c>
      <c r="U25" s="150" t="s">
        <v>204</v>
      </c>
      <c r="V25" s="150" t="s">
        <v>205</v>
      </c>
      <c r="W25" s="150" t="s">
        <v>205</v>
      </c>
      <c r="X25" s="150" t="s">
        <v>205</v>
      </c>
      <c r="Y25" s="150" t="s">
        <v>204</v>
      </c>
      <c r="Z25" s="151">
        <v>3.09E-2</v>
      </c>
    </row>
    <row r="26" spans="1:26" x14ac:dyDescent="0.3">
      <c r="A26" s="149" t="s">
        <v>301</v>
      </c>
      <c r="B26" s="47" t="s">
        <v>302</v>
      </c>
      <c r="C26" s="150" t="s">
        <v>204</v>
      </c>
      <c r="D26" s="150">
        <v>147.2449</v>
      </c>
      <c r="E26" s="150">
        <v>58.227800000000002</v>
      </c>
      <c r="F26" s="150">
        <v>88.134100000000004</v>
      </c>
      <c r="G26" s="150" t="s">
        <v>204</v>
      </c>
      <c r="H26" s="150">
        <v>53.589700000000001</v>
      </c>
      <c r="I26" s="150">
        <v>56.253700000000002</v>
      </c>
      <c r="J26" s="150">
        <v>43.410600000000002</v>
      </c>
      <c r="K26" s="150">
        <v>59.822499999999998</v>
      </c>
      <c r="L26" s="150" t="s">
        <v>204</v>
      </c>
      <c r="M26" s="150" t="s">
        <v>205</v>
      </c>
      <c r="N26" s="150">
        <v>5.9836999999999998</v>
      </c>
      <c r="O26" s="150" t="s">
        <v>205</v>
      </c>
      <c r="P26" s="150" t="s">
        <v>205</v>
      </c>
      <c r="Q26" s="150" t="s">
        <v>205</v>
      </c>
      <c r="R26" s="150" t="s">
        <v>205</v>
      </c>
      <c r="S26" s="150">
        <v>2.3058000000000001</v>
      </c>
      <c r="T26" s="150" t="s">
        <v>205</v>
      </c>
      <c r="U26" s="150" t="s">
        <v>204</v>
      </c>
      <c r="V26" s="150" t="s">
        <v>205</v>
      </c>
      <c r="W26" s="150" t="s">
        <v>205</v>
      </c>
      <c r="X26" s="150" t="s">
        <v>205</v>
      </c>
      <c r="Y26" s="150" t="s">
        <v>204</v>
      </c>
      <c r="Z26" s="151">
        <v>1.8069999999999999</v>
      </c>
    </row>
    <row r="28" spans="1:26" x14ac:dyDescent="0.3">
      <c r="E28" s="143" t="s">
        <v>54</v>
      </c>
      <c r="F28" s="143" t="s">
        <v>49</v>
      </c>
      <c r="G28" s="143" t="s">
        <v>52</v>
      </c>
      <c r="H28" s="143" t="s">
        <v>53</v>
      </c>
      <c r="I28" s="143" t="s">
        <v>55</v>
      </c>
      <c r="J28" s="143" t="s">
        <v>72</v>
      </c>
      <c r="K28" s="143" t="s">
        <v>50</v>
      </c>
      <c r="L28" s="143" t="s">
        <v>51</v>
      </c>
      <c r="M28" s="143" t="s">
        <v>58</v>
      </c>
      <c r="N28" s="143" t="s">
        <v>57</v>
      </c>
    </row>
    <row r="29" spans="1:26" x14ac:dyDescent="0.3">
      <c r="E29" s="143" t="s">
        <v>176</v>
      </c>
      <c r="F29" s="143" t="s">
        <v>177</v>
      </c>
      <c r="G29" s="143" t="s">
        <v>178</v>
      </c>
      <c r="H29" s="143" t="s">
        <v>180</v>
      </c>
      <c r="I29" s="143" t="s">
        <v>181</v>
      </c>
      <c r="J29" s="143" t="s">
        <v>182</v>
      </c>
      <c r="K29" s="143" t="s">
        <v>183</v>
      </c>
      <c r="L29" s="143" t="s">
        <v>186</v>
      </c>
      <c r="M29" s="143" t="s">
        <v>191</v>
      </c>
      <c r="N29" s="143" t="s">
        <v>198</v>
      </c>
    </row>
    <row r="30" spans="1:26" x14ac:dyDescent="0.3">
      <c r="A30" s="144" t="s">
        <v>199</v>
      </c>
      <c r="E30" s="145">
        <v>0.02</v>
      </c>
      <c r="F30" s="145">
        <v>0.05</v>
      </c>
      <c r="G30" s="145">
        <v>0.02</v>
      </c>
      <c r="H30" s="145">
        <v>0.02</v>
      </c>
      <c r="I30" s="145">
        <v>0.02</v>
      </c>
      <c r="J30" s="145">
        <v>0.02</v>
      </c>
      <c r="K30" s="145">
        <v>0.02</v>
      </c>
      <c r="L30" s="145">
        <v>0.02</v>
      </c>
      <c r="M30" s="145">
        <v>0.02</v>
      </c>
      <c r="N30" s="145">
        <v>0.02</v>
      </c>
    </row>
    <row r="31" spans="1:26" x14ac:dyDescent="0.3">
      <c r="A31" s="146" t="s">
        <v>200</v>
      </c>
      <c r="C31" t="s">
        <v>217</v>
      </c>
      <c r="D31" t="s">
        <v>218</v>
      </c>
      <c r="E31" s="148" t="s">
        <v>202</v>
      </c>
      <c r="F31" s="148" t="s">
        <v>202</v>
      </c>
      <c r="G31" s="148" t="s">
        <v>202</v>
      </c>
      <c r="H31" s="148" t="s">
        <v>202</v>
      </c>
      <c r="I31" s="148" t="s">
        <v>202</v>
      </c>
      <c r="J31" s="148" t="s">
        <v>202</v>
      </c>
      <c r="K31" s="148" t="s">
        <v>202</v>
      </c>
      <c r="L31" s="148" t="s">
        <v>202</v>
      </c>
      <c r="M31" s="148" t="s">
        <v>202</v>
      </c>
      <c r="N31" s="148" t="s">
        <v>202</v>
      </c>
    </row>
    <row r="32" spans="1:26" x14ac:dyDescent="0.3">
      <c r="A32" s="149" t="s">
        <v>259</v>
      </c>
      <c r="B32" s="47" t="s">
        <v>260</v>
      </c>
      <c r="C32" s="47">
        <v>1</v>
      </c>
      <c r="D32" s="47">
        <v>0.1</v>
      </c>
      <c r="E32" s="150">
        <v>137.69159999999999</v>
      </c>
      <c r="F32" s="150">
        <v>57.298299999999998</v>
      </c>
      <c r="G32" s="150">
        <v>84.500100000000003</v>
      </c>
      <c r="H32" s="150">
        <v>50.082700000000003</v>
      </c>
      <c r="I32" s="150">
        <v>49.9572</v>
      </c>
      <c r="J32" s="150">
        <v>34.307099999999998</v>
      </c>
      <c r="K32" s="150">
        <v>51.9255</v>
      </c>
      <c r="L32" s="150">
        <v>1.3346</v>
      </c>
      <c r="M32" s="150">
        <v>0.61219999999999997</v>
      </c>
      <c r="N32" s="151">
        <v>0.3589</v>
      </c>
    </row>
    <row r="33" spans="1:23" x14ac:dyDescent="0.3">
      <c r="A33" s="149" t="s">
        <v>261</v>
      </c>
      <c r="B33" s="47" t="s">
        <v>262</v>
      </c>
      <c r="C33" s="47">
        <v>2</v>
      </c>
      <c r="D33" s="47">
        <v>0.1</v>
      </c>
      <c r="E33" s="150">
        <v>0.11409999999999999</v>
      </c>
      <c r="F33" s="150">
        <v>7.2499999999999995E-2</v>
      </c>
      <c r="G33" s="150">
        <v>0.10589999999999999</v>
      </c>
      <c r="H33" s="150">
        <v>7.6499999999999999E-2</v>
      </c>
      <c r="I33" s="150">
        <v>7.2599999999999998E-2</v>
      </c>
      <c r="J33" s="150">
        <v>3.0300000000000001E-2</v>
      </c>
      <c r="K33" s="150">
        <v>0.1008</v>
      </c>
      <c r="L33" s="150" t="s">
        <v>205</v>
      </c>
      <c r="M33" s="150" t="s">
        <v>205</v>
      </c>
      <c r="N33" s="150" t="s">
        <v>205</v>
      </c>
    </row>
    <row r="34" spans="1:23" x14ac:dyDescent="0.3">
      <c r="A34" s="149" t="s">
        <v>263</v>
      </c>
      <c r="B34" s="47" t="s">
        <v>264</v>
      </c>
      <c r="C34" s="47">
        <v>3</v>
      </c>
      <c r="D34" s="47">
        <v>0.1</v>
      </c>
      <c r="E34" s="150">
        <v>3.7699999999999997E-2</v>
      </c>
      <c r="F34" s="150" t="s">
        <v>204</v>
      </c>
      <c r="G34" s="150">
        <v>2.64E-2</v>
      </c>
      <c r="H34" s="150" t="s">
        <v>205</v>
      </c>
      <c r="I34" s="150" t="s">
        <v>205</v>
      </c>
      <c r="J34" s="150" t="s">
        <v>205</v>
      </c>
      <c r="K34" s="150">
        <v>2.5700000000000001E-2</v>
      </c>
      <c r="L34" s="150">
        <v>2.1700000000000001E-2</v>
      </c>
      <c r="M34" s="150" t="s">
        <v>205</v>
      </c>
      <c r="N34" s="150" t="s">
        <v>205</v>
      </c>
      <c r="P34" s="41"/>
      <c r="Q34" s="167"/>
      <c r="R34" s="41"/>
      <c r="S34" s="41"/>
      <c r="T34" s="41"/>
      <c r="U34" s="41"/>
      <c r="V34" s="41"/>
      <c r="W34" s="41"/>
    </row>
    <row r="35" spans="1:23" x14ac:dyDescent="0.3">
      <c r="A35" s="149" t="s">
        <v>265</v>
      </c>
      <c r="B35" s="47" t="s">
        <v>266</v>
      </c>
      <c r="C35" s="47">
        <v>1</v>
      </c>
      <c r="D35" s="47">
        <v>1</v>
      </c>
      <c r="E35" s="150">
        <v>168.12880000000001</v>
      </c>
      <c r="F35" s="150">
        <v>66.243099999999998</v>
      </c>
      <c r="G35" s="150">
        <v>101.4425</v>
      </c>
      <c r="H35" s="150">
        <v>56.116900000000001</v>
      </c>
      <c r="I35" s="150">
        <v>51.499000000000002</v>
      </c>
      <c r="J35" s="150">
        <v>33.817500000000003</v>
      </c>
      <c r="K35" s="150">
        <v>50.823099999999997</v>
      </c>
      <c r="L35" s="150">
        <v>1.8441000000000001</v>
      </c>
      <c r="M35" s="150">
        <v>1.9160999999999999</v>
      </c>
      <c r="N35" s="150">
        <v>0.54969999999999997</v>
      </c>
      <c r="P35" s="41"/>
      <c r="Q35" s="41"/>
      <c r="R35" s="41"/>
      <c r="S35" s="41"/>
      <c r="T35" s="41"/>
      <c r="U35" s="173"/>
      <c r="V35" s="41"/>
      <c r="W35" s="41"/>
    </row>
    <row r="36" spans="1:23" x14ac:dyDescent="0.3">
      <c r="A36" s="149" t="s">
        <v>267</v>
      </c>
      <c r="B36" s="47" t="s">
        <v>268</v>
      </c>
      <c r="C36" s="47">
        <v>2</v>
      </c>
      <c r="D36" s="47">
        <v>1</v>
      </c>
      <c r="E36" s="150">
        <v>0.1157</v>
      </c>
      <c r="F36" s="150">
        <v>7.1599999999999997E-2</v>
      </c>
      <c r="G36" s="150">
        <v>0.1007</v>
      </c>
      <c r="H36" s="150">
        <v>8.7300000000000003E-2</v>
      </c>
      <c r="I36" s="150">
        <v>0.1024</v>
      </c>
      <c r="J36" s="150">
        <v>6.3399999999999998E-2</v>
      </c>
      <c r="K36" s="150">
        <v>0.14630000000000001</v>
      </c>
      <c r="L36" s="150">
        <v>0.02</v>
      </c>
      <c r="M36" s="150">
        <v>0.02</v>
      </c>
      <c r="N36" s="151">
        <v>0.02</v>
      </c>
      <c r="P36" s="41"/>
      <c r="Q36" s="41"/>
      <c r="R36" s="41"/>
      <c r="S36" s="41"/>
      <c r="T36" s="41"/>
      <c r="U36" s="173"/>
      <c r="V36" s="41"/>
      <c r="W36" s="41"/>
    </row>
    <row r="37" spans="1:23" x14ac:dyDescent="0.3">
      <c r="A37" s="149" t="s">
        <v>269</v>
      </c>
      <c r="B37" s="47" t="s">
        <v>270</v>
      </c>
      <c r="C37" s="47">
        <v>3</v>
      </c>
      <c r="D37" s="47">
        <v>1</v>
      </c>
      <c r="E37" s="150">
        <v>0.1217</v>
      </c>
      <c r="F37" s="150">
        <v>5.8599999999999999E-2</v>
      </c>
      <c r="G37" s="150">
        <v>8.3199999999999996E-2</v>
      </c>
      <c r="H37" s="150">
        <v>6.08E-2</v>
      </c>
      <c r="I37" s="150">
        <v>6.3899999999999998E-2</v>
      </c>
      <c r="J37" s="150">
        <v>4.1300000000000003E-2</v>
      </c>
      <c r="K37" s="150">
        <v>8.5699999999999998E-2</v>
      </c>
      <c r="L37" s="150">
        <v>0.02</v>
      </c>
      <c r="M37" s="150">
        <v>0.02</v>
      </c>
      <c r="N37" s="151">
        <v>0.02</v>
      </c>
      <c r="P37" s="41"/>
      <c r="Q37" s="41"/>
      <c r="R37" s="41"/>
      <c r="S37" s="42"/>
      <c r="T37" s="42"/>
      <c r="U37" s="41"/>
      <c r="V37" s="41"/>
      <c r="W37" s="41"/>
    </row>
    <row r="38" spans="1:23" x14ac:dyDescent="0.3">
      <c r="A38" s="149" t="s">
        <v>271</v>
      </c>
      <c r="B38" s="47" t="s">
        <v>272</v>
      </c>
      <c r="C38" s="47">
        <v>1</v>
      </c>
      <c r="D38" s="47">
        <v>24</v>
      </c>
      <c r="E38" s="150">
        <v>101.992</v>
      </c>
      <c r="F38" s="150">
        <v>41.371400000000001</v>
      </c>
      <c r="G38" s="150">
        <v>59.396099999999997</v>
      </c>
      <c r="H38" s="150">
        <v>34.167099999999998</v>
      </c>
      <c r="I38" s="150">
        <v>30.287600000000001</v>
      </c>
      <c r="J38" s="150">
        <v>14.905900000000001</v>
      </c>
      <c r="K38" s="150">
        <v>27.301100000000002</v>
      </c>
      <c r="L38" s="150">
        <v>0.45150000000000001</v>
      </c>
      <c r="M38" s="150">
        <v>0.44829999999999998</v>
      </c>
      <c r="N38" s="151">
        <v>0.25519999999999998</v>
      </c>
    </row>
    <row r="39" spans="1:23" x14ac:dyDescent="0.3">
      <c r="A39" s="149" t="s">
        <v>273</v>
      </c>
      <c r="B39" s="47" t="s">
        <v>274</v>
      </c>
      <c r="C39" s="47">
        <v>2</v>
      </c>
      <c r="D39" s="47">
        <v>24</v>
      </c>
      <c r="E39" s="150">
        <v>0.1978</v>
      </c>
      <c r="F39" s="150">
        <v>0.12640000000000001</v>
      </c>
      <c r="G39" s="150">
        <v>0.63639999999999997</v>
      </c>
      <c r="H39" s="150">
        <v>12.1191</v>
      </c>
      <c r="I39" s="150">
        <v>14.127800000000001</v>
      </c>
      <c r="J39" s="150">
        <v>6.6424000000000003</v>
      </c>
      <c r="K39" s="150">
        <v>11.471500000000001</v>
      </c>
      <c r="L39" s="150">
        <v>0.22550000000000001</v>
      </c>
      <c r="M39" s="150">
        <v>0.2969</v>
      </c>
      <c r="N39" s="151">
        <v>0.1017</v>
      </c>
    </row>
    <row r="40" spans="1:23" x14ac:dyDescent="0.3">
      <c r="A40" s="149" t="s">
        <v>275</v>
      </c>
      <c r="B40" s="47" t="s">
        <v>276</v>
      </c>
      <c r="C40" s="47">
        <v>3</v>
      </c>
      <c r="D40" s="47">
        <v>24</v>
      </c>
      <c r="E40" s="150">
        <v>0.12189999999999999</v>
      </c>
      <c r="F40" s="150">
        <v>6.4500000000000002E-2</v>
      </c>
      <c r="G40" s="150">
        <v>0.1234</v>
      </c>
      <c r="H40" s="150">
        <v>3.5305</v>
      </c>
      <c r="I40" s="150">
        <v>11.0054</v>
      </c>
      <c r="J40" s="150">
        <v>6.6551</v>
      </c>
      <c r="K40" s="150">
        <v>11.159700000000001</v>
      </c>
      <c r="L40" s="150">
        <v>0.30680000000000002</v>
      </c>
      <c r="M40" s="150">
        <v>0.32819999999999999</v>
      </c>
      <c r="N40" s="151">
        <v>0.1187</v>
      </c>
    </row>
    <row r="41" spans="1:23" x14ac:dyDescent="0.3">
      <c r="A41" s="149" t="s">
        <v>277</v>
      </c>
      <c r="B41" s="47" t="s">
        <v>278</v>
      </c>
      <c r="C41" s="47">
        <v>1</v>
      </c>
      <c r="D41" s="47">
        <v>48</v>
      </c>
      <c r="E41" s="150">
        <v>64.999099999999999</v>
      </c>
      <c r="F41" s="150">
        <v>28.188099999999999</v>
      </c>
      <c r="G41" s="150">
        <v>40.157800000000002</v>
      </c>
      <c r="H41" s="150">
        <v>25.817799999999998</v>
      </c>
      <c r="I41" s="150">
        <v>21.822199999999999</v>
      </c>
      <c r="J41" s="150">
        <v>10.3956</v>
      </c>
      <c r="K41" s="150">
        <v>18.4453</v>
      </c>
      <c r="L41" s="150">
        <v>0.38750000000000001</v>
      </c>
      <c r="M41" s="150">
        <v>0.2641</v>
      </c>
      <c r="N41" s="150">
        <v>0.1988</v>
      </c>
    </row>
    <row r="42" spans="1:23" x14ac:dyDescent="0.3">
      <c r="A42" s="149" t="s">
        <v>279</v>
      </c>
      <c r="B42" s="47" t="s">
        <v>280</v>
      </c>
      <c r="C42" s="47">
        <v>2</v>
      </c>
      <c r="D42" s="47">
        <v>48</v>
      </c>
      <c r="E42" s="150">
        <v>0.38629999999999998</v>
      </c>
      <c r="F42" s="150">
        <v>0.37290000000000001</v>
      </c>
      <c r="G42" s="150">
        <v>1.7803</v>
      </c>
      <c r="H42" s="150">
        <v>12.6175</v>
      </c>
      <c r="I42" s="150">
        <v>7.9402999999999997</v>
      </c>
      <c r="J42" s="150">
        <v>2.7557</v>
      </c>
      <c r="K42" s="150">
        <v>4.8776999999999999</v>
      </c>
      <c r="L42" s="150">
        <v>5.8099999999999999E-2</v>
      </c>
      <c r="M42" s="150">
        <v>7.0599999999999996E-2</v>
      </c>
      <c r="N42" s="150">
        <v>4.4200000000000003E-2</v>
      </c>
    </row>
    <row r="43" spans="1:23" x14ac:dyDescent="0.3">
      <c r="A43" s="149" t="s">
        <v>281</v>
      </c>
      <c r="B43" s="47" t="s">
        <v>282</v>
      </c>
      <c r="C43" s="47">
        <v>3</v>
      </c>
      <c r="D43" s="47">
        <v>48</v>
      </c>
      <c r="E43" s="150">
        <v>0.1164</v>
      </c>
      <c r="F43" s="150">
        <v>7.5999999999999998E-2</v>
      </c>
      <c r="G43" s="150">
        <v>0.15790000000000001</v>
      </c>
      <c r="H43" s="150">
        <v>3.8365</v>
      </c>
      <c r="I43" s="150">
        <v>5.5141999999999998</v>
      </c>
      <c r="J43" s="150">
        <v>2.4422000000000001</v>
      </c>
      <c r="K43" s="150">
        <v>4.0587</v>
      </c>
      <c r="L43" s="150">
        <v>0.02</v>
      </c>
      <c r="M43" s="150">
        <v>3.0800000000000001E-2</v>
      </c>
      <c r="N43" s="150">
        <v>0.02</v>
      </c>
    </row>
    <row r="44" spans="1:23" x14ac:dyDescent="0.3">
      <c r="A44" s="149" t="s">
        <v>283</v>
      </c>
      <c r="B44" s="47" t="s">
        <v>284</v>
      </c>
      <c r="C44" s="47">
        <v>1</v>
      </c>
      <c r="D44" s="47">
        <v>72</v>
      </c>
      <c r="E44" s="150">
        <v>43.150500000000001</v>
      </c>
      <c r="F44" s="150">
        <v>19.279399999999999</v>
      </c>
      <c r="G44" s="150">
        <v>28.0092</v>
      </c>
      <c r="H44" s="150">
        <v>19.4068</v>
      </c>
      <c r="I44" s="150">
        <v>16.892399999999999</v>
      </c>
      <c r="J44" s="150">
        <v>11.232100000000001</v>
      </c>
      <c r="K44" s="150">
        <v>17.261700000000001</v>
      </c>
      <c r="L44" s="150">
        <v>1.4302999999999999</v>
      </c>
      <c r="M44" s="150">
        <v>1.4984</v>
      </c>
      <c r="N44" s="151">
        <v>0.55259999999999998</v>
      </c>
    </row>
    <row r="45" spans="1:23" x14ac:dyDescent="0.3">
      <c r="A45" s="149" t="s">
        <v>285</v>
      </c>
      <c r="B45" s="47" t="s">
        <v>286</v>
      </c>
      <c r="C45" s="47">
        <v>2</v>
      </c>
      <c r="D45" s="47">
        <v>72</v>
      </c>
      <c r="E45" s="150">
        <v>0.86250000000000004</v>
      </c>
      <c r="F45" s="150">
        <v>0.8831</v>
      </c>
      <c r="G45" s="150">
        <v>3.0779000000000001</v>
      </c>
      <c r="H45" s="150">
        <v>7.2077999999999998</v>
      </c>
      <c r="I45" s="150">
        <v>4.3898000000000001</v>
      </c>
      <c r="J45" s="172">
        <v>1.6335999999999999</v>
      </c>
      <c r="K45" s="150">
        <v>2.5095000000000001</v>
      </c>
      <c r="L45" s="150">
        <v>5.62E-2</v>
      </c>
      <c r="M45" s="150">
        <v>4.07E-2</v>
      </c>
      <c r="N45" s="150">
        <v>3.0700000000000002E-2</v>
      </c>
    </row>
    <row r="46" spans="1:23" x14ac:dyDescent="0.3">
      <c r="A46" s="149" t="s">
        <v>287</v>
      </c>
      <c r="B46" s="47" t="s">
        <v>288</v>
      </c>
      <c r="C46" s="47">
        <v>3</v>
      </c>
      <c r="D46" s="47">
        <v>72</v>
      </c>
      <c r="E46" s="150">
        <v>0.1182</v>
      </c>
      <c r="F46" s="150">
        <v>5.8099999999999999E-2</v>
      </c>
      <c r="G46" s="150">
        <v>0.2097</v>
      </c>
      <c r="H46" s="150">
        <v>5.0366999999999997</v>
      </c>
      <c r="I46" s="150">
        <v>4.8258999999999999</v>
      </c>
      <c r="J46" s="172">
        <v>1.8459000000000001</v>
      </c>
      <c r="K46" s="150">
        <v>3.2662</v>
      </c>
      <c r="L46" s="150">
        <v>0.02</v>
      </c>
      <c r="M46" s="150">
        <v>3.9300000000000002E-2</v>
      </c>
      <c r="N46" s="150">
        <v>3.04E-2</v>
      </c>
    </row>
    <row r="47" spans="1:23" x14ac:dyDescent="0.3">
      <c r="A47" s="149" t="s">
        <v>289</v>
      </c>
      <c r="B47" s="47" t="s">
        <v>290</v>
      </c>
      <c r="C47" s="47">
        <v>1</v>
      </c>
      <c r="D47" s="47">
        <v>96</v>
      </c>
      <c r="E47" s="150">
        <v>45.384999999999998</v>
      </c>
      <c r="F47" s="150">
        <v>21.1708</v>
      </c>
      <c r="G47" s="150">
        <v>30.2332</v>
      </c>
      <c r="H47" s="150">
        <v>18.008299999999998</v>
      </c>
      <c r="I47" s="150">
        <v>13.872400000000001</v>
      </c>
      <c r="J47" s="150">
        <v>7.7591999999999999</v>
      </c>
      <c r="K47" s="150">
        <v>12.4375</v>
      </c>
      <c r="L47" s="150">
        <v>0.9103</v>
      </c>
      <c r="M47" s="150">
        <v>0.60250000000000004</v>
      </c>
      <c r="N47" s="151">
        <v>0.28910000000000002</v>
      </c>
    </row>
    <row r="48" spans="1:23" x14ac:dyDescent="0.3">
      <c r="A48" s="149" t="s">
        <v>291</v>
      </c>
      <c r="B48" s="47" t="s">
        <v>292</v>
      </c>
      <c r="C48" s="47">
        <v>2</v>
      </c>
      <c r="D48" s="47">
        <v>96</v>
      </c>
      <c r="E48" s="150">
        <v>4.8562000000000003</v>
      </c>
      <c r="F48" s="150">
        <v>4.2855999999999996</v>
      </c>
      <c r="G48" s="150">
        <v>11.7532</v>
      </c>
      <c r="H48" s="150">
        <v>14.6877</v>
      </c>
      <c r="I48" s="150">
        <v>5.6108000000000002</v>
      </c>
      <c r="J48" s="150">
        <v>1.4837</v>
      </c>
      <c r="K48" s="150">
        <v>2.6669</v>
      </c>
      <c r="L48" s="150">
        <v>3.0200000000000001E-2</v>
      </c>
      <c r="M48" s="150">
        <v>2.07E-2</v>
      </c>
      <c r="N48" s="151">
        <v>3.6700000000000003E-2</v>
      </c>
    </row>
    <row r="49" spans="1:24" x14ac:dyDescent="0.3">
      <c r="A49" s="149" t="s">
        <v>293</v>
      </c>
      <c r="B49" s="47" t="s">
        <v>294</v>
      </c>
      <c r="C49" s="47">
        <v>3</v>
      </c>
      <c r="D49" s="47">
        <v>96</v>
      </c>
      <c r="E49" s="150">
        <v>0.16830000000000001</v>
      </c>
      <c r="F49" s="150">
        <v>0.18190000000000001</v>
      </c>
      <c r="G49" s="150">
        <v>0.87580000000000002</v>
      </c>
      <c r="H49" s="150">
        <v>6.7130000000000001</v>
      </c>
      <c r="I49" s="150">
        <v>3.9159999999999999</v>
      </c>
      <c r="J49" s="150">
        <v>1.1327</v>
      </c>
      <c r="K49" s="150">
        <v>2.0205000000000002</v>
      </c>
      <c r="L49" s="150">
        <v>0.02</v>
      </c>
      <c r="M49" s="150">
        <v>0.02</v>
      </c>
      <c r="N49" s="151">
        <v>0.02</v>
      </c>
    </row>
    <row r="50" spans="1:24" x14ac:dyDescent="0.3">
      <c r="A50" s="149" t="s">
        <v>295</v>
      </c>
      <c r="B50" s="47" t="s">
        <v>296</v>
      </c>
      <c r="C50" s="47">
        <v>1</v>
      </c>
      <c r="D50" s="47">
        <v>120</v>
      </c>
      <c r="E50" s="150">
        <v>47.431600000000003</v>
      </c>
      <c r="F50" s="150">
        <v>21.387</v>
      </c>
      <c r="G50" s="150">
        <v>30.509799999999998</v>
      </c>
      <c r="H50" s="150">
        <v>16.521100000000001</v>
      </c>
      <c r="I50" s="150">
        <v>11.5306</v>
      </c>
      <c r="J50" s="150">
        <v>5.8601000000000001</v>
      </c>
      <c r="K50" s="151">
        <v>9.0485000000000007</v>
      </c>
      <c r="L50" s="150">
        <v>0.48180000000000001</v>
      </c>
      <c r="M50" s="150">
        <v>0.33239999999999997</v>
      </c>
      <c r="N50" s="151">
        <v>0.22700000000000001</v>
      </c>
    </row>
    <row r="51" spans="1:24" x14ac:dyDescent="0.3">
      <c r="A51" s="149" t="s">
        <v>297</v>
      </c>
      <c r="B51" s="47" t="s">
        <v>298</v>
      </c>
      <c r="C51" s="47">
        <v>2</v>
      </c>
      <c r="D51" s="47">
        <v>120</v>
      </c>
      <c r="E51" s="150">
        <v>4.7789999999999999</v>
      </c>
      <c r="F51" s="150">
        <v>3.7225999999999999</v>
      </c>
      <c r="G51" s="150">
        <v>9.9474999999999998</v>
      </c>
      <c r="H51" s="150">
        <v>9.4953000000000003</v>
      </c>
      <c r="I51" s="150">
        <v>3.6362000000000001</v>
      </c>
      <c r="J51" s="150">
        <v>0.90529999999999999</v>
      </c>
      <c r="K51" s="150">
        <v>1.7613000000000001</v>
      </c>
      <c r="L51" s="150">
        <v>3.2800000000000003E-2</v>
      </c>
      <c r="M51" s="150">
        <v>2.18E-2</v>
      </c>
      <c r="N51" s="151">
        <v>3.3700000000000001E-2</v>
      </c>
    </row>
    <row r="52" spans="1:24" x14ac:dyDescent="0.3">
      <c r="A52" s="149" t="s">
        <v>299</v>
      </c>
      <c r="B52" s="47" t="s">
        <v>300</v>
      </c>
      <c r="C52" s="47">
        <v>3</v>
      </c>
      <c r="D52" s="47">
        <v>120</v>
      </c>
      <c r="E52" s="150">
        <v>0.2009</v>
      </c>
      <c r="F52" s="150">
        <v>0.31409999999999999</v>
      </c>
      <c r="G52" s="150">
        <v>1.4858</v>
      </c>
      <c r="H52" s="150">
        <v>8.5139999999999993</v>
      </c>
      <c r="I52" s="150">
        <v>4.5693999999999999</v>
      </c>
      <c r="J52" s="150">
        <v>1.3985000000000001</v>
      </c>
      <c r="K52" s="150">
        <v>2.5667</v>
      </c>
      <c r="L52" s="150">
        <v>0.02</v>
      </c>
      <c r="M52" s="150">
        <v>2.3199999999999998E-2</v>
      </c>
      <c r="N52" s="151">
        <v>3.09E-2</v>
      </c>
    </row>
    <row r="53" spans="1:24" x14ac:dyDescent="0.3">
      <c r="A53" s="149" t="s">
        <v>301</v>
      </c>
      <c r="B53" s="47" t="s">
        <v>302</v>
      </c>
      <c r="C53" s="157" t="s">
        <v>305</v>
      </c>
      <c r="D53" s="47"/>
      <c r="E53" s="158">
        <v>147.2449</v>
      </c>
      <c r="F53" s="158">
        <v>58.227800000000002</v>
      </c>
      <c r="G53" s="158">
        <v>88.134100000000004</v>
      </c>
      <c r="H53" s="158">
        <v>53.589700000000001</v>
      </c>
      <c r="I53" s="158">
        <v>56.253700000000002</v>
      </c>
      <c r="J53" s="158">
        <v>43.410600000000002</v>
      </c>
      <c r="K53" s="158">
        <v>59.822499999999998</v>
      </c>
      <c r="L53" s="158">
        <v>5.9836999999999998</v>
      </c>
      <c r="M53" s="158">
        <v>2.3058000000000001</v>
      </c>
      <c r="N53" s="159">
        <v>1.8069999999999999</v>
      </c>
    </row>
    <row r="55" spans="1:24" x14ac:dyDescent="0.3">
      <c r="A55" s="171" t="s">
        <v>93</v>
      </c>
      <c r="B55" s="77" t="s">
        <v>306</v>
      </c>
      <c r="C55" s="143" t="s">
        <v>54</v>
      </c>
      <c r="D55" s="143" t="s">
        <v>49</v>
      </c>
      <c r="E55" s="143" t="s">
        <v>52</v>
      </c>
      <c r="F55" s="143" t="s">
        <v>53</v>
      </c>
      <c r="G55" s="143" t="s">
        <v>55</v>
      </c>
      <c r="H55" s="143" t="s">
        <v>72</v>
      </c>
      <c r="I55" s="143" t="s">
        <v>50</v>
      </c>
      <c r="J55" s="143" t="s">
        <v>51</v>
      </c>
      <c r="K55" s="143" t="s">
        <v>58</v>
      </c>
      <c r="L55" s="143" t="s">
        <v>57</v>
      </c>
      <c r="M55" s="171" t="s">
        <v>93</v>
      </c>
      <c r="O55" s="143" t="s">
        <v>54</v>
      </c>
      <c r="P55" s="143" t="s">
        <v>49</v>
      </c>
      <c r="Q55" s="143" t="s">
        <v>52</v>
      </c>
      <c r="R55" s="143" t="s">
        <v>53</v>
      </c>
      <c r="S55" s="143" t="s">
        <v>55</v>
      </c>
      <c r="T55" s="143" t="s">
        <v>72</v>
      </c>
      <c r="U55" s="143" t="s">
        <v>50</v>
      </c>
      <c r="V55" s="143" t="s">
        <v>51</v>
      </c>
      <c r="W55" s="143" t="s">
        <v>58</v>
      </c>
      <c r="X55" s="143" t="s">
        <v>57</v>
      </c>
    </row>
    <row r="56" spans="1:24" x14ac:dyDescent="0.3">
      <c r="B56">
        <v>1</v>
      </c>
      <c r="C56" s="150">
        <v>168.12880000000001</v>
      </c>
      <c r="D56" s="150">
        <v>66.243099999999998</v>
      </c>
      <c r="E56" s="150">
        <v>101.4425</v>
      </c>
      <c r="F56" s="150">
        <v>56.116900000000001</v>
      </c>
      <c r="G56" s="150">
        <v>51.499000000000002</v>
      </c>
      <c r="H56" s="150">
        <v>33.817500000000003</v>
      </c>
      <c r="I56" s="150">
        <v>50.823099999999997</v>
      </c>
      <c r="J56" s="150">
        <v>1.8441000000000001</v>
      </c>
      <c r="K56" s="150">
        <v>1.9160999999999999</v>
      </c>
      <c r="L56" s="150">
        <v>0.54969999999999997</v>
      </c>
      <c r="M56" s="30" t="s">
        <v>239</v>
      </c>
      <c r="N56">
        <v>1</v>
      </c>
      <c r="O56" s="57">
        <f>C56/E$53</f>
        <v>1.14183105832528</v>
      </c>
      <c r="P56" s="57">
        <f t="shared" ref="P56:X61" si="0">D56/F$53</f>
        <v>1.1376541789317129</v>
      </c>
      <c r="Q56" s="57">
        <f t="shared" si="0"/>
        <v>1.1510017121636233</v>
      </c>
      <c r="R56" s="57">
        <f t="shared" si="0"/>
        <v>1.0471583158704005</v>
      </c>
      <c r="S56" s="57">
        <f t="shared" si="0"/>
        <v>0.91547755969829536</v>
      </c>
      <c r="T56" s="57">
        <f t="shared" si="0"/>
        <v>0.77901480283617364</v>
      </c>
      <c r="U56" s="57">
        <f t="shared" si="0"/>
        <v>0.8495649630155877</v>
      </c>
      <c r="V56" s="57">
        <f t="shared" si="0"/>
        <v>0.30818724200745362</v>
      </c>
      <c r="W56" s="57">
        <f t="shared" si="0"/>
        <v>0.830991412958626</v>
      </c>
      <c r="X56" s="57">
        <f t="shared" si="0"/>
        <v>0.30420586607636968</v>
      </c>
    </row>
    <row r="57" spans="1:24" x14ac:dyDescent="0.3">
      <c r="B57">
        <v>24</v>
      </c>
      <c r="C57" s="150">
        <v>101.992</v>
      </c>
      <c r="D57" s="150">
        <v>41.371400000000001</v>
      </c>
      <c r="E57" s="150">
        <v>59.396099999999997</v>
      </c>
      <c r="F57" s="150">
        <v>34.167099999999998</v>
      </c>
      <c r="G57" s="150">
        <v>30.287600000000001</v>
      </c>
      <c r="H57" s="150">
        <v>14.905900000000001</v>
      </c>
      <c r="I57" s="150">
        <v>27.301100000000002</v>
      </c>
      <c r="J57" s="150">
        <v>0.45150000000000001</v>
      </c>
      <c r="K57" s="150">
        <v>0.44829999999999998</v>
      </c>
      <c r="L57" s="151">
        <v>0.25519999999999998</v>
      </c>
      <c r="N57">
        <v>24</v>
      </c>
      <c r="O57" s="57">
        <f t="shared" ref="O57:O61" si="1">C57/E$53</f>
        <v>0.69266915186875744</v>
      </c>
      <c r="P57" s="57">
        <f t="shared" si="0"/>
        <v>0.71050941302951509</v>
      </c>
      <c r="Q57" s="57">
        <f t="shared" si="0"/>
        <v>0.67392870636904434</v>
      </c>
      <c r="R57" s="57">
        <f t="shared" si="0"/>
        <v>0.63756841333315917</v>
      </c>
      <c r="S57" s="57">
        <f t="shared" si="0"/>
        <v>0.53841080675582231</v>
      </c>
      <c r="T57" s="57">
        <f t="shared" si="0"/>
        <v>0.3433700524756626</v>
      </c>
      <c r="U57" s="57">
        <f t="shared" si="0"/>
        <v>0.4563684232521209</v>
      </c>
      <c r="V57" s="57">
        <f t="shared" si="0"/>
        <v>7.5454986045423403E-2</v>
      </c>
      <c r="W57" s="57">
        <f t="shared" si="0"/>
        <v>0.19442275999653047</v>
      </c>
      <c r="X57" s="57">
        <f t="shared" si="0"/>
        <v>0.14122855561704481</v>
      </c>
    </row>
    <row r="58" spans="1:24" x14ac:dyDescent="0.3">
      <c r="B58">
        <v>48</v>
      </c>
      <c r="C58" s="150">
        <v>64.999099999999999</v>
      </c>
      <c r="D58" s="150">
        <v>28.188099999999999</v>
      </c>
      <c r="E58" s="150">
        <v>40.157800000000002</v>
      </c>
      <c r="F58" s="150">
        <v>25.817799999999998</v>
      </c>
      <c r="G58" s="150">
        <v>21.822199999999999</v>
      </c>
      <c r="H58" s="150">
        <v>10.3956</v>
      </c>
      <c r="I58" s="150">
        <v>18.4453</v>
      </c>
      <c r="J58" s="150">
        <v>0.38750000000000001</v>
      </c>
      <c r="K58" s="150">
        <v>0.2641</v>
      </c>
      <c r="L58" s="151">
        <v>0.1988</v>
      </c>
      <c r="N58">
        <v>48</v>
      </c>
      <c r="O58" s="57">
        <f t="shared" si="1"/>
        <v>0.44143532305702948</v>
      </c>
      <c r="P58" s="57">
        <f t="shared" si="0"/>
        <v>0.48410037816987755</v>
      </c>
      <c r="Q58" s="57">
        <f t="shared" si="0"/>
        <v>0.45564429658894801</v>
      </c>
      <c r="R58" s="57">
        <f t="shared" si="0"/>
        <v>0.48176795167728126</v>
      </c>
      <c r="S58" s="57">
        <f t="shared" si="0"/>
        <v>0.38792470539715607</v>
      </c>
      <c r="T58" s="57">
        <f t="shared" si="0"/>
        <v>0.23947146549460269</v>
      </c>
      <c r="U58" s="57">
        <f t="shared" si="0"/>
        <v>0.30833382088679007</v>
      </c>
      <c r="V58" s="57">
        <f t="shared" si="0"/>
        <v>6.4759262663569364E-2</v>
      </c>
      <c r="W58" s="57">
        <f t="shared" si="0"/>
        <v>0.11453725388151617</v>
      </c>
      <c r="X58" s="57">
        <f t="shared" si="0"/>
        <v>0.11001660210293304</v>
      </c>
    </row>
    <row r="59" spans="1:24" x14ac:dyDescent="0.3">
      <c r="B59">
        <v>72</v>
      </c>
      <c r="C59" s="150">
        <v>43.150500000000001</v>
      </c>
      <c r="D59" s="150">
        <v>19.279399999999999</v>
      </c>
      <c r="E59" s="150">
        <v>28.0092</v>
      </c>
      <c r="F59" s="150">
        <v>19.4068</v>
      </c>
      <c r="G59" s="150">
        <v>16.892399999999999</v>
      </c>
      <c r="H59" s="150">
        <v>11.232100000000001</v>
      </c>
      <c r="I59" s="150">
        <v>17.261700000000001</v>
      </c>
      <c r="J59" s="150">
        <v>1.4302999999999999</v>
      </c>
      <c r="K59" s="150">
        <v>1.4984</v>
      </c>
      <c r="L59" s="150">
        <v>0.55259999999999998</v>
      </c>
      <c r="N59">
        <v>72</v>
      </c>
      <c r="O59" s="57">
        <f t="shared" si="1"/>
        <v>0.29305259469088574</v>
      </c>
      <c r="P59" s="57">
        <f t="shared" si="0"/>
        <v>0.33110301265031478</v>
      </c>
      <c r="Q59" s="57">
        <f t="shared" si="0"/>
        <v>0.31780207660825943</v>
      </c>
      <c r="R59" s="57">
        <f t="shared" si="0"/>
        <v>0.36213675389113953</v>
      </c>
      <c r="S59" s="57">
        <f t="shared" si="0"/>
        <v>0.30028958095200847</v>
      </c>
      <c r="T59" s="57">
        <f t="shared" si="0"/>
        <v>0.25874095267054592</v>
      </c>
      <c r="U59" s="57">
        <f t="shared" si="0"/>
        <v>0.28854862300973716</v>
      </c>
      <c r="V59" s="57">
        <f t="shared" si="0"/>
        <v>0.23903270551665357</v>
      </c>
      <c r="W59" s="57">
        <f t="shared" si="0"/>
        <v>0.64983953508543668</v>
      </c>
      <c r="X59" s="57">
        <f t="shared" si="0"/>
        <v>0.30581073602656339</v>
      </c>
    </row>
    <row r="60" spans="1:24" x14ac:dyDescent="0.3">
      <c r="B60">
        <v>96</v>
      </c>
      <c r="C60" s="150">
        <v>45.384999999999998</v>
      </c>
      <c r="D60" s="150">
        <v>21.1708</v>
      </c>
      <c r="E60" s="150">
        <v>30.2332</v>
      </c>
      <c r="F60" s="150">
        <v>18.008299999999998</v>
      </c>
      <c r="G60" s="150">
        <v>13.872400000000001</v>
      </c>
      <c r="H60" s="150">
        <v>7.7591999999999999</v>
      </c>
      <c r="I60" s="150">
        <v>12.4375</v>
      </c>
      <c r="J60" s="150">
        <v>0.9103</v>
      </c>
      <c r="K60" s="150">
        <v>0.60250000000000004</v>
      </c>
      <c r="L60" s="150">
        <v>0.28910000000000002</v>
      </c>
      <c r="N60">
        <v>96</v>
      </c>
      <c r="O60" s="57">
        <f t="shared" si="1"/>
        <v>0.30822799295595293</v>
      </c>
      <c r="P60" s="57">
        <f t="shared" si="0"/>
        <v>0.36358577861433883</v>
      </c>
      <c r="Q60" s="57">
        <f t="shared" si="0"/>
        <v>0.3430363502889347</v>
      </c>
      <c r="R60" s="57">
        <f t="shared" si="0"/>
        <v>0.33604032118112248</v>
      </c>
      <c r="S60" s="57">
        <f t="shared" si="0"/>
        <v>0.24660422336664078</v>
      </c>
      <c r="T60" s="57">
        <f t="shared" si="0"/>
        <v>0.17873975480642976</v>
      </c>
      <c r="U60" s="57">
        <f t="shared" si="0"/>
        <v>0.20790672405867358</v>
      </c>
      <c r="V60" s="57">
        <f t="shared" si="0"/>
        <v>0.15212995303908952</v>
      </c>
      <c r="W60" s="57">
        <f t="shared" si="0"/>
        <v>0.26129759736317115</v>
      </c>
      <c r="X60" s="57">
        <f t="shared" si="0"/>
        <v>0.159988931931378</v>
      </c>
    </row>
    <row r="61" spans="1:24" x14ac:dyDescent="0.3">
      <c r="B61">
        <v>120</v>
      </c>
      <c r="C61" s="150">
        <v>47.431600000000003</v>
      </c>
      <c r="D61" s="150">
        <v>21.387</v>
      </c>
      <c r="E61" s="150">
        <v>30.509799999999998</v>
      </c>
      <c r="F61" s="150">
        <v>16.521100000000001</v>
      </c>
      <c r="G61" s="150">
        <v>11.5306</v>
      </c>
      <c r="H61" s="150">
        <v>5.8601000000000001</v>
      </c>
      <c r="I61" s="151">
        <v>9.0485000000000007</v>
      </c>
      <c r="J61" s="150">
        <v>0.48180000000000001</v>
      </c>
      <c r="K61" s="150">
        <v>0.33239999999999997</v>
      </c>
      <c r="L61" s="151">
        <v>0.22700000000000001</v>
      </c>
      <c r="N61">
        <v>120</v>
      </c>
      <c r="O61" s="57">
        <f t="shared" si="1"/>
        <v>0.32212728590260176</v>
      </c>
      <c r="P61" s="57">
        <f t="shared" si="0"/>
        <v>0.36729878168160224</v>
      </c>
      <c r="Q61" s="57">
        <f t="shared" si="0"/>
        <v>0.34617474961450784</v>
      </c>
      <c r="R61" s="57">
        <f t="shared" si="0"/>
        <v>0.30828871966068105</v>
      </c>
      <c r="S61" s="57">
        <f t="shared" si="0"/>
        <v>0.20497496164696721</v>
      </c>
      <c r="T61" s="57">
        <f t="shared" si="0"/>
        <v>0.1349923751341838</v>
      </c>
      <c r="U61" s="57">
        <f t="shared" si="0"/>
        <v>0.1512557984036107</v>
      </c>
      <c r="V61" s="57">
        <f t="shared" si="0"/>
        <v>8.051874258401992E-2</v>
      </c>
      <c r="W61" s="57">
        <f t="shared" si="0"/>
        <v>0.14415820973198021</v>
      </c>
      <c r="X61" s="57">
        <f t="shared" si="0"/>
        <v>0.12562257885998895</v>
      </c>
    </row>
    <row r="63" spans="1:24" x14ac:dyDescent="0.3">
      <c r="A63" s="171" t="s">
        <v>144</v>
      </c>
      <c r="B63" s="77" t="s">
        <v>306</v>
      </c>
      <c r="C63" s="143" t="s">
        <v>54</v>
      </c>
      <c r="D63" s="143" t="s">
        <v>49</v>
      </c>
      <c r="E63" s="143" t="s">
        <v>52</v>
      </c>
      <c r="F63" s="143" t="s">
        <v>53</v>
      </c>
      <c r="G63" s="143" t="s">
        <v>55</v>
      </c>
      <c r="H63" s="143" t="s">
        <v>72</v>
      </c>
      <c r="I63" s="143" t="s">
        <v>50</v>
      </c>
      <c r="J63" s="143" t="s">
        <v>51</v>
      </c>
      <c r="K63" s="143" t="s">
        <v>58</v>
      </c>
      <c r="L63" s="143" t="s">
        <v>57</v>
      </c>
      <c r="M63" s="171" t="s">
        <v>144</v>
      </c>
      <c r="O63" s="143" t="s">
        <v>54</v>
      </c>
      <c r="P63" s="143" t="s">
        <v>49</v>
      </c>
      <c r="Q63" s="143" t="s">
        <v>52</v>
      </c>
      <c r="R63" s="143" t="s">
        <v>53</v>
      </c>
      <c r="S63" s="143" t="s">
        <v>55</v>
      </c>
      <c r="T63" s="143" t="s">
        <v>72</v>
      </c>
      <c r="U63" s="143" t="s">
        <v>50</v>
      </c>
      <c r="V63" s="143" t="s">
        <v>51</v>
      </c>
      <c r="W63" s="143" t="s">
        <v>58</v>
      </c>
      <c r="X63" s="143" t="s">
        <v>57</v>
      </c>
    </row>
    <row r="64" spans="1:24" x14ac:dyDescent="0.3">
      <c r="B64">
        <v>1</v>
      </c>
      <c r="C64" s="150">
        <v>0.1157</v>
      </c>
      <c r="D64" s="150">
        <v>7.1599999999999997E-2</v>
      </c>
      <c r="E64" s="150">
        <v>0.1007</v>
      </c>
      <c r="F64" s="150">
        <v>8.7300000000000003E-2</v>
      </c>
      <c r="G64" s="150">
        <v>0.1024</v>
      </c>
      <c r="H64" s="150">
        <v>6.3399999999999998E-2</v>
      </c>
      <c r="I64" s="150">
        <v>0.14630000000000001</v>
      </c>
      <c r="J64" s="150">
        <v>0.02</v>
      </c>
      <c r="K64" s="150">
        <v>0.02</v>
      </c>
      <c r="L64" s="150">
        <v>0.02</v>
      </c>
      <c r="M64" s="30" t="s">
        <v>239</v>
      </c>
      <c r="N64">
        <v>1</v>
      </c>
      <c r="O64" s="57">
        <f>C64/E$53</f>
        <v>7.857657548750415E-4</v>
      </c>
      <c r="P64" s="57">
        <f t="shared" ref="P64:X69" si="2">D64/F$53</f>
        <v>1.2296531897135045E-3</v>
      </c>
      <c r="Q64" s="57">
        <f t="shared" si="2"/>
        <v>1.1425770501996388E-3</v>
      </c>
      <c r="R64" s="57">
        <f t="shared" si="2"/>
        <v>1.6290443872609848E-3</v>
      </c>
      <c r="S64" s="57">
        <f t="shared" si="2"/>
        <v>1.8203247075303491E-3</v>
      </c>
      <c r="T64" s="57">
        <f t="shared" si="2"/>
        <v>1.4604727877523E-3</v>
      </c>
      <c r="U64" s="57">
        <f t="shared" si="2"/>
        <v>2.4455681390781062E-3</v>
      </c>
      <c r="V64" s="57">
        <f t="shared" si="2"/>
        <v>3.3424135568293867E-3</v>
      </c>
      <c r="W64" s="57">
        <f t="shared" si="2"/>
        <v>8.6737791655824448E-3</v>
      </c>
      <c r="X64" s="57">
        <f t="shared" si="2"/>
        <v>1.1068068622025458E-2</v>
      </c>
    </row>
    <row r="65" spans="1:24" x14ac:dyDescent="0.3">
      <c r="B65">
        <v>24</v>
      </c>
      <c r="C65" s="150">
        <v>0.1978</v>
      </c>
      <c r="D65" s="150">
        <v>0.12640000000000001</v>
      </c>
      <c r="E65" s="150">
        <v>0.63639999999999997</v>
      </c>
      <c r="F65" s="150">
        <v>12.1191</v>
      </c>
      <c r="G65" s="150">
        <v>14.127800000000001</v>
      </c>
      <c r="H65" s="150">
        <v>6.6424000000000003</v>
      </c>
      <c r="I65" s="150">
        <v>11.471500000000001</v>
      </c>
      <c r="J65" s="150">
        <v>0.22550000000000001</v>
      </c>
      <c r="K65" s="150">
        <v>0.2969</v>
      </c>
      <c r="L65" s="150">
        <v>0.1017</v>
      </c>
      <c r="N65">
        <v>24</v>
      </c>
      <c r="O65" s="57">
        <f>C65/E$53</f>
        <v>1.343340244721549E-3</v>
      </c>
      <c r="P65" s="57">
        <f t="shared" si="2"/>
        <v>2.1707844019523324E-3</v>
      </c>
      <c r="Q65" s="57">
        <f t="shared" si="2"/>
        <v>7.2208146449558109E-3</v>
      </c>
      <c r="R65" s="57">
        <f t="shared" si="2"/>
        <v>0.22614606911402749</v>
      </c>
      <c r="S65" s="57">
        <f t="shared" si="2"/>
        <v>0.25114436917038346</v>
      </c>
      <c r="T65" s="57">
        <f t="shared" si="2"/>
        <v>0.15301331932753751</v>
      </c>
      <c r="U65" s="57">
        <f t="shared" si="2"/>
        <v>0.19175895357098083</v>
      </c>
      <c r="V65" s="57">
        <f t="shared" si="2"/>
        <v>3.7685712853251334E-2</v>
      </c>
      <c r="W65" s="57">
        <f t="shared" si="2"/>
        <v>0.12876225171307137</v>
      </c>
      <c r="X65" s="57">
        <f t="shared" si="2"/>
        <v>5.6281128942999449E-2</v>
      </c>
    </row>
    <row r="66" spans="1:24" x14ac:dyDescent="0.3">
      <c r="B66">
        <v>48</v>
      </c>
      <c r="C66" s="150">
        <v>0.38629999999999998</v>
      </c>
      <c r="D66" s="150">
        <v>0.37290000000000001</v>
      </c>
      <c r="E66" s="150">
        <v>1.7803</v>
      </c>
      <c r="F66" s="150">
        <v>12.6175</v>
      </c>
      <c r="G66" s="150">
        <v>7.9402999999999997</v>
      </c>
      <c r="H66" s="150">
        <v>2.7557</v>
      </c>
      <c r="I66" s="150">
        <v>4.8776999999999999</v>
      </c>
      <c r="J66" s="150">
        <v>5.8099999999999999E-2</v>
      </c>
      <c r="K66" s="150">
        <v>7.0599999999999996E-2</v>
      </c>
      <c r="L66" s="150">
        <v>4.4200000000000003E-2</v>
      </c>
      <c r="N66">
        <v>48</v>
      </c>
      <c r="O66" s="57">
        <f t="shared" ref="O66:O69" si="3">C66/E$53</f>
        <v>2.623520407158414E-3</v>
      </c>
      <c r="P66" s="57">
        <f>D66/F$53</f>
        <v>6.4041574643039926E-3</v>
      </c>
      <c r="Q66" s="57">
        <f t="shared" si="2"/>
        <v>2.0199899925227579E-2</v>
      </c>
      <c r="R66" s="57">
        <f t="shared" si="2"/>
        <v>0.23544636376020017</v>
      </c>
      <c r="S66" s="57">
        <f t="shared" si="2"/>
        <v>0.14115160425003154</v>
      </c>
      <c r="T66" s="57">
        <f t="shared" si="2"/>
        <v>6.347988740077308E-2</v>
      </c>
      <c r="U66" s="57">
        <f t="shared" si="2"/>
        <v>8.1536211291738062E-2</v>
      </c>
      <c r="V66" s="57">
        <f t="shared" si="2"/>
        <v>9.7097113825893675E-3</v>
      </c>
      <c r="W66" s="57">
        <f t="shared" si="2"/>
        <v>3.0618440454506027E-2</v>
      </c>
      <c r="X66" s="57">
        <f t="shared" si="2"/>
        <v>2.4460431654676262E-2</v>
      </c>
    </row>
    <row r="67" spans="1:24" x14ac:dyDescent="0.3">
      <c r="B67">
        <v>72</v>
      </c>
      <c r="C67" s="150">
        <v>0.86250000000000004</v>
      </c>
      <c r="D67" s="150">
        <v>0.8831</v>
      </c>
      <c r="E67" s="150">
        <v>3.0779000000000001</v>
      </c>
      <c r="F67" s="150">
        <v>7.2077999999999998</v>
      </c>
      <c r="G67" s="150">
        <v>4.3898000000000001</v>
      </c>
      <c r="H67" s="172">
        <v>1.6335999999999999</v>
      </c>
      <c r="I67" s="150">
        <v>2.5095000000000001</v>
      </c>
      <c r="J67" s="150">
        <v>5.62E-2</v>
      </c>
      <c r="K67" s="150">
        <v>4.07E-2</v>
      </c>
      <c r="L67" s="150">
        <v>3.0700000000000002E-2</v>
      </c>
      <c r="N67">
        <v>72</v>
      </c>
      <c r="O67" s="57">
        <f t="shared" si="3"/>
        <v>5.857588276402103E-3</v>
      </c>
      <c r="P67" s="57">
        <f t="shared" si="2"/>
        <v>1.5166295137374244E-2</v>
      </c>
      <c r="Q67" s="57">
        <f t="shared" si="2"/>
        <v>3.4922918597909323E-2</v>
      </c>
      <c r="R67" s="57">
        <f t="shared" si="2"/>
        <v>0.13449972662657189</v>
      </c>
      <c r="S67" s="57">
        <f t="shared" si="2"/>
        <v>7.8035755870280527E-2</v>
      </c>
      <c r="T67" s="57">
        <f t="shared" si="2"/>
        <v>3.7631361925428347E-2</v>
      </c>
      <c r="U67" s="57">
        <f t="shared" si="2"/>
        <v>4.1949099419114885E-2</v>
      </c>
      <c r="V67" s="57">
        <f t="shared" si="2"/>
        <v>9.3921820946905772E-3</v>
      </c>
      <c r="W67" s="57">
        <f t="shared" si="2"/>
        <v>1.7651140601960272E-2</v>
      </c>
      <c r="X67" s="57">
        <f t="shared" si="2"/>
        <v>1.6989485334809078E-2</v>
      </c>
    </row>
    <row r="68" spans="1:24" x14ac:dyDescent="0.3">
      <c r="B68">
        <v>96</v>
      </c>
      <c r="C68" s="150">
        <v>4.8562000000000003</v>
      </c>
      <c r="D68" s="150">
        <v>4.2855999999999996</v>
      </c>
      <c r="E68" s="150">
        <v>11.7532</v>
      </c>
      <c r="F68" s="150">
        <v>14.6877</v>
      </c>
      <c r="G68" s="150">
        <v>5.6108000000000002</v>
      </c>
      <c r="H68" s="150">
        <v>1.4837</v>
      </c>
      <c r="I68" s="150">
        <v>2.6669</v>
      </c>
      <c r="J68" s="150">
        <v>3.0200000000000001E-2</v>
      </c>
      <c r="K68" s="150">
        <v>2.07E-2</v>
      </c>
      <c r="L68" s="150">
        <v>3.6700000000000003E-2</v>
      </c>
      <c r="N68">
        <v>96</v>
      </c>
      <c r="O68" s="57">
        <f t="shared" si="3"/>
        <v>3.2980429203320456E-2</v>
      </c>
      <c r="P68" s="57">
        <f t="shared" si="2"/>
        <v>7.3600582539611659E-2</v>
      </c>
      <c r="Q68" s="57">
        <f t="shared" si="2"/>
        <v>0.13335587474087782</v>
      </c>
      <c r="R68" s="57">
        <f t="shared" si="2"/>
        <v>0.27407692149797441</v>
      </c>
      <c r="S68" s="57">
        <f t="shared" si="2"/>
        <v>9.9740994814563305E-2</v>
      </c>
      <c r="T68" s="57">
        <f t="shared" si="2"/>
        <v>3.4178288252178037E-2</v>
      </c>
      <c r="U68" s="57">
        <f t="shared" si="2"/>
        <v>4.45802164737348E-2</v>
      </c>
      <c r="V68" s="57">
        <f t="shared" si="2"/>
        <v>5.047044470812374E-3</v>
      </c>
      <c r="W68" s="57">
        <f t="shared" si="2"/>
        <v>8.9773614363778294E-3</v>
      </c>
      <c r="X68" s="57">
        <f t="shared" si="2"/>
        <v>2.0309905921416717E-2</v>
      </c>
    </row>
    <row r="69" spans="1:24" x14ac:dyDescent="0.3">
      <c r="B69">
        <v>120</v>
      </c>
      <c r="C69" s="150">
        <v>4.7789999999999999</v>
      </c>
      <c r="D69" s="150">
        <v>3.7225999999999999</v>
      </c>
      <c r="E69" s="150">
        <v>9.9474999999999998</v>
      </c>
      <c r="F69" s="150">
        <v>9.4953000000000003</v>
      </c>
      <c r="G69" s="150">
        <v>3.6362000000000001</v>
      </c>
      <c r="H69" s="150">
        <v>0.90529999999999999</v>
      </c>
      <c r="I69" s="150">
        <v>1.7613000000000001</v>
      </c>
      <c r="J69" s="150">
        <v>3.2800000000000003E-2</v>
      </c>
      <c r="K69" s="150">
        <v>2.18E-2</v>
      </c>
      <c r="L69" s="150">
        <v>3.3700000000000001E-2</v>
      </c>
      <c r="N69">
        <v>120</v>
      </c>
      <c r="O69" s="57">
        <f t="shared" si="3"/>
        <v>3.2456132606290607E-2</v>
      </c>
      <c r="P69" s="57">
        <f t="shared" si="2"/>
        <v>6.3931661508763851E-2</v>
      </c>
      <c r="Q69" s="57">
        <f t="shared" si="2"/>
        <v>0.11286777762523245</v>
      </c>
      <c r="R69" s="57">
        <f t="shared" si="2"/>
        <v>0.177185168045352</v>
      </c>
      <c r="S69" s="57">
        <f t="shared" si="2"/>
        <v>6.4639303725799374E-2</v>
      </c>
      <c r="T69" s="57">
        <f t="shared" si="2"/>
        <v>2.0854353544986708E-2</v>
      </c>
      <c r="U69" s="57">
        <f t="shared" si="2"/>
        <v>2.9442099544485772E-2</v>
      </c>
      <c r="V69" s="57">
        <f t="shared" si="2"/>
        <v>5.4815582332001945E-3</v>
      </c>
      <c r="W69" s="57">
        <f t="shared" si="2"/>
        <v>9.454419290484864E-3</v>
      </c>
      <c r="X69" s="57">
        <f t="shared" si="2"/>
        <v>1.8649695628112896E-2</v>
      </c>
    </row>
    <row r="71" spans="1:24" x14ac:dyDescent="0.3">
      <c r="A71" s="171" t="s">
        <v>146</v>
      </c>
      <c r="B71" s="77" t="s">
        <v>306</v>
      </c>
      <c r="C71" s="143" t="s">
        <v>54</v>
      </c>
      <c r="D71" s="143" t="s">
        <v>49</v>
      </c>
      <c r="E71" s="143" t="s">
        <v>52</v>
      </c>
      <c r="F71" s="143" t="s">
        <v>53</v>
      </c>
      <c r="G71" s="143" t="s">
        <v>55</v>
      </c>
      <c r="H71" s="143" t="s">
        <v>72</v>
      </c>
      <c r="I71" s="143" t="s">
        <v>50</v>
      </c>
      <c r="J71" s="143" t="s">
        <v>51</v>
      </c>
      <c r="K71" s="143" t="s">
        <v>58</v>
      </c>
      <c r="L71" s="143" t="s">
        <v>57</v>
      </c>
      <c r="M71" s="171" t="s">
        <v>146</v>
      </c>
      <c r="O71" s="143" t="s">
        <v>54</v>
      </c>
      <c r="P71" s="143" t="s">
        <v>49</v>
      </c>
      <c r="Q71" s="143" t="s">
        <v>52</v>
      </c>
      <c r="R71" s="143" t="s">
        <v>53</v>
      </c>
      <c r="S71" s="143" t="s">
        <v>55</v>
      </c>
      <c r="T71" s="143" t="s">
        <v>72</v>
      </c>
      <c r="U71" s="143" t="s">
        <v>50</v>
      </c>
      <c r="V71" s="143" t="s">
        <v>51</v>
      </c>
      <c r="W71" s="143" t="s">
        <v>58</v>
      </c>
      <c r="X71" s="143" t="s">
        <v>57</v>
      </c>
    </row>
    <row r="72" spans="1:24" x14ac:dyDescent="0.3">
      <c r="B72">
        <v>1</v>
      </c>
      <c r="C72" s="150">
        <v>0.1217</v>
      </c>
      <c r="D72" s="150">
        <v>5.8599999999999999E-2</v>
      </c>
      <c r="E72" s="150">
        <v>8.3199999999999996E-2</v>
      </c>
      <c r="F72" s="150">
        <v>6.08E-2</v>
      </c>
      <c r="G72" s="150">
        <v>6.3899999999999998E-2</v>
      </c>
      <c r="H72" s="150">
        <v>4.1300000000000003E-2</v>
      </c>
      <c r="I72" s="150">
        <v>8.5699999999999998E-2</v>
      </c>
      <c r="J72" s="150">
        <v>0.02</v>
      </c>
      <c r="K72" s="150">
        <v>0.02</v>
      </c>
      <c r="L72" s="150">
        <v>0.02</v>
      </c>
      <c r="M72" s="30" t="s">
        <v>239</v>
      </c>
      <c r="N72">
        <v>1</v>
      </c>
      <c r="O72" s="57">
        <f>C72/E$53</f>
        <v>8.2651419505870832E-4</v>
      </c>
      <c r="P72" s="57">
        <f t="shared" ref="P72:X77" si="4">D72/F$53</f>
        <v>1.0063921357152425E-3</v>
      </c>
      <c r="Q72" s="57">
        <f t="shared" si="4"/>
        <v>9.4401599380943349E-4</v>
      </c>
      <c r="R72" s="57">
        <f t="shared" si="4"/>
        <v>1.1345463773822209E-3</v>
      </c>
      <c r="S72" s="57">
        <f t="shared" si="4"/>
        <v>1.1359252813592706E-3</v>
      </c>
      <c r="T72" s="57">
        <f t="shared" si="4"/>
        <v>9.5138053839384853E-4</v>
      </c>
      <c r="U72" s="57">
        <f t="shared" si="4"/>
        <v>1.4325713569309207E-3</v>
      </c>
      <c r="V72" s="57">
        <f t="shared" si="4"/>
        <v>3.3424135568293867E-3</v>
      </c>
      <c r="W72" s="57">
        <f t="shared" si="4"/>
        <v>8.6737791655824448E-3</v>
      </c>
      <c r="X72" s="57">
        <f t="shared" si="4"/>
        <v>1.1068068622025458E-2</v>
      </c>
    </row>
    <row r="73" spans="1:24" x14ac:dyDescent="0.3">
      <c r="B73">
        <v>24</v>
      </c>
      <c r="C73" s="150">
        <v>0.12189999999999999</v>
      </c>
      <c r="D73" s="150">
        <v>6.4500000000000002E-2</v>
      </c>
      <c r="E73" s="150">
        <v>0.1234</v>
      </c>
      <c r="F73" s="150">
        <v>3.5305</v>
      </c>
      <c r="G73" s="150">
        <v>11.0054</v>
      </c>
      <c r="H73" s="150">
        <v>6.6551</v>
      </c>
      <c r="I73" s="150">
        <v>11.159700000000001</v>
      </c>
      <c r="J73" s="150">
        <v>0.30680000000000002</v>
      </c>
      <c r="K73" s="150">
        <v>0.32819999999999999</v>
      </c>
      <c r="L73" s="151">
        <v>0.1187</v>
      </c>
      <c r="N73">
        <v>24</v>
      </c>
      <c r="O73" s="57">
        <f t="shared" ref="O73:O77" si="5">C73/E$53</f>
        <v>8.2787247639816387E-4</v>
      </c>
      <c r="P73" s="57">
        <f t="shared" si="4"/>
        <v>1.1077183063759922E-3</v>
      </c>
      <c r="Q73" s="57">
        <f t="shared" si="4"/>
        <v>1.4001391062029339E-3</v>
      </c>
      <c r="R73" s="57">
        <f t="shared" si="4"/>
        <v>6.5880197127433066E-2</v>
      </c>
      <c r="S73" s="57">
        <f t="shared" si="4"/>
        <v>0.1956386868774854</v>
      </c>
      <c r="T73" s="57">
        <f t="shared" si="4"/>
        <v>0.15330587460205572</v>
      </c>
      <c r="U73" s="57">
        <f t="shared" si="4"/>
        <v>0.18654686781729285</v>
      </c>
      <c r="V73" s="57">
        <f t="shared" si="4"/>
        <v>5.1272623961762791E-2</v>
      </c>
      <c r="W73" s="57">
        <f t="shared" si="4"/>
        <v>0.14233671610720791</v>
      </c>
      <c r="X73" s="57">
        <f t="shared" si="4"/>
        <v>6.568898727172108E-2</v>
      </c>
    </row>
    <row r="74" spans="1:24" x14ac:dyDescent="0.3">
      <c r="B74">
        <v>48</v>
      </c>
      <c r="C74" s="150">
        <v>0.1164</v>
      </c>
      <c r="D74" s="150">
        <v>7.5999999999999998E-2</v>
      </c>
      <c r="E74" s="150">
        <v>0.15790000000000001</v>
      </c>
      <c r="F74" s="150">
        <v>3.8365</v>
      </c>
      <c r="G74" s="150">
        <v>5.5141999999999998</v>
      </c>
      <c r="H74" s="150">
        <v>2.4422000000000001</v>
      </c>
      <c r="I74" s="150">
        <v>4.0587</v>
      </c>
      <c r="J74" s="150">
        <v>0.02</v>
      </c>
      <c r="K74" s="150">
        <v>3.0800000000000001E-2</v>
      </c>
      <c r="L74" s="150">
        <v>0.02</v>
      </c>
      <c r="N74">
        <v>48</v>
      </c>
      <c r="O74" s="57">
        <f t="shared" si="5"/>
        <v>7.9051973956313594E-4</v>
      </c>
      <c r="P74" s="57">
        <f t="shared" si="4"/>
        <v>1.3052184695283009E-3</v>
      </c>
      <c r="Q74" s="57">
        <f t="shared" si="4"/>
        <v>1.7915880459436245E-3</v>
      </c>
      <c r="R74" s="57">
        <f t="shared" si="4"/>
        <v>7.159024961886333E-2</v>
      </c>
      <c r="S74" s="57">
        <f t="shared" si="4"/>
        <v>9.8023774436170413E-2</v>
      </c>
      <c r="T74" s="57">
        <f t="shared" si="4"/>
        <v>5.6258148931366991E-2</v>
      </c>
      <c r="U74" s="57">
        <f t="shared" si="4"/>
        <v>6.7845710226085501E-2</v>
      </c>
      <c r="V74" s="57">
        <f t="shared" si="4"/>
        <v>3.3424135568293867E-3</v>
      </c>
      <c r="W74" s="57">
        <f t="shared" si="4"/>
        <v>1.3357619914996965E-2</v>
      </c>
      <c r="X74" s="57">
        <f t="shared" si="4"/>
        <v>1.1068068622025458E-2</v>
      </c>
    </row>
    <row r="75" spans="1:24" x14ac:dyDescent="0.3">
      <c r="B75">
        <v>72</v>
      </c>
      <c r="C75" s="150">
        <v>0.1182</v>
      </c>
      <c r="D75" s="150">
        <v>5.8099999999999999E-2</v>
      </c>
      <c r="E75" s="150">
        <v>0.2097</v>
      </c>
      <c r="F75" s="150">
        <v>5.0366999999999997</v>
      </c>
      <c r="G75" s="150">
        <v>4.8258999999999999</v>
      </c>
      <c r="H75" s="172">
        <v>1.8459000000000001</v>
      </c>
      <c r="I75" s="150">
        <v>3.2662</v>
      </c>
      <c r="J75" s="150">
        <v>0.02</v>
      </c>
      <c r="K75" s="150">
        <v>3.9300000000000002E-2</v>
      </c>
      <c r="L75" s="150">
        <v>3.04E-2</v>
      </c>
      <c r="N75">
        <v>72</v>
      </c>
      <c r="O75" s="57">
        <f t="shared" si="5"/>
        <v>8.0274427161823602E-4</v>
      </c>
      <c r="P75" s="57">
        <f t="shared" si="4"/>
        <v>9.9780517209992464E-4</v>
      </c>
      <c r="Q75" s="57">
        <f t="shared" si="4"/>
        <v>2.3793287728586326E-3</v>
      </c>
      <c r="R75" s="57">
        <f t="shared" si="4"/>
        <v>9.3986344390806442E-2</v>
      </c>
      <c r="S75" s="57">
        <f t="shared" si="4"/>
        <v>8.5788134824909296E-2</v>
      </c>
      <c r="T75" s="57">
        <f t="shared" si="4"/>
        <v>4.2521872538043702E-2</v>
      </c>
      <c r="U75" s="57">
        <f t="shared" si="4"/>
        <v>5.4598186301140876E-2</v>
      </c>
      <c r="V75" s="57">
        <f t="shared" si="4"/>
        <v>3.3424135568293867E-3</v>
      </c>
      <c r="W75" s="57">
        <f t="shared" si="4"/>
        <v>1.7043976060369503E-2</v>
      </c>
      <c r="X75" s="57">
        <f t="shared" si="4"/>
        <v>1.6823464305478694E-2</v>
      </c>
    </row>
    <row r="76" spans="1:24" x14ac:dyDescent="0.3">
      <c r="B76">
        <v>96</v>
      </c>
      <c r="C76" s="150">
        <v>0.16830000000000001</v>
      </c>
      <c r="D76" s="150">
        <v>0.18190000000000001</v>
      </c>
      <c r="E76" s="150">
        <v>0.87580000000000002</v>
      </c>
      <c r="F76" s="150">
        <v>6.7130000000000001</v>
      </c>
      <c r="G76" s="150">
        <v>3.9159999999999999</v>
      </c>
      <c r="H76" s="150">
        <v>1.1327</v>
      </c>
      <c r="I76" s="150">
        <v>2.0205000000000002</v>
      </c>
      <c r="J76" s="150">
        <v>0.02</v>
      </c>
      <c r="K76" s="150">
        <v>0.02</v>
      </c>
      <c r="L76" s="150">
        <v>0.02</v>
      </c>
      <c r="N76">
        <v>96</v>
      </c>
      <c r="O76" s="57">
        <f t="shared" si="5"/>
        <v>1.1429937471518538E-3</v>
      </c>
      <c r="P76" s="57">
        <f t="shared" si="4"/>
        <v>3.1239373632526045E-3</v>
      </c>
      <c r="Q76" s="57">
        <f t="shared" si="4"/>
        <v>9.9371298963738218E-3</v>
      </c>
      <c r="R76" s="57">
        <f>F76/H$53</f>
        <v>0.12526660906853368</v>
      </c>
      <c r="S76" s="57">
        <f t="shared" si="4"/>
        <v>6.9613198776258267E-2</v>
      </c>
      <c r="T76" s="57">
        <f t="shared" si="4"/>
        <v>2.609270546824969E-2</v>
      </c>
      <c r="U76" s="57">
        <f t="shared" si="4"/>
        <v>3.3774917464164826E-2</v>
      </c>
      <c r="V76" s="57">
        <f t="shared" si="4"/>
        <v>3.3424135568293867E-3</v>
      </c>
      <c r="W76" s="57">
        <f t="shared" si="4"/>
        <v>8.6737791655824448E-3</v>
      </c>
      <c r="X76" s="57">
        <f t="shared" si="4"/>
        <v>1.1068068622025458E-2</v>
      </c>
    </row>
    <row r="77" spans="1:24" x14ac:dyDescent="0.3">
      <c r="B77">
        <v>120</v>
      </c>
      <c r="C77" s="150">
        <v>0.2009</v>
      </c>
      <c r="D77" s="150">
        <v>0.31409999999999999</v>
      </c>
      <c r="E77" s="150">
        <v>1.4858</v>
      </c>
      <c r="F77" s="150">
        <v>8.5139999999999993</v>
      </c>
      <c r="G77" s="150">
        <v>4.5693999999999999</v>
      </c>
      <c r="H77" s="150">
        <v>1.3985000000000001</v>
      </c>
      <c r="I77" s="150">
        <v>2.5667</v>
      </c>
      <c r="J77" s="150">
        <v>0.02</v>
      </c>
      <c r="K77" s="150">
        <v>2.3199999999999998E-2</v>
      </c>
      <c r="L77" s="150">
        <v>3.09E-2</v>
      </c>
      <c r="N77">
        <v>120</v>
      </c>
      <c r="O77" s="57">
        <f t="shared" si="5"/>
        <v>1.36439360548311E-3</v>
      </c>
      <c r="P77" s="57">
        <f t="shared" si="4"/>
        <v>5.3943305431426222E-3</v>
      </c>
      <c r="Q77" s="57">
        <f t="shared" si="4"/>
        <v>1.6858401004832407E-2</v>
      </c>
      <c r="R77" s="57">
        <f t="shared" si="4"/>
        <v>0.15887381343803006</v>
      </c>
      <c r="S77" s="57">
        <f t="shared" si="4"/>
        <v>8.1228434751847434E-2</v>
      </c>
      <c r="T77" s="57">
        <f t="shared" si="4"/>
        <v>3.2215633969583463E-2</v>
      </c>
      <c r="U77" s="57">
        <f t="shared" si="4"/>
        <v>4.2905261398303314E-2</v>
      </c>
      <c r="V77" s="57">
        <f t="shared" si="4"/>
        <v>3.3424135568293867E-3</v>
      </c>
      <c r="W77" s="57">
        <f t="shared" si="4"/>
        <v>1.0061583832075635E-2</v>
      </c>
      <c r="X77" s="57">
        <f t="shared" si="4"/>
        <v>1.7100166021029331E-2</v>
      </c>
    </row>
    <row r="79" spans="1:24" x14ac:dyDescent="0.3">
      <c r="B79" s="30" t="s">
        <v>239</v>
      </c>
      <c r="C79" s="143" t="s">
        <v>54</v>
      </c>
      <c r="D79" s="143" t="s">
        <v>49</v>
      </c>
      <c r="E79" s="143" t="s">
        <v>52</v>
      </c>
      <c r="F79" s="143" t="s">
        <v>53</v>
      </c>
      <c r="G79" s="143" t="s">
        <v>55</v>
      </c>
      <c r="H79" s="143" t="s">
        <v>72</v>
      </c>
      <c r="I79" s="143" t="s">
        <v>50</v>
      </c>
      <c r="J79" s="143" t="s">
        <v>51</v>
      </c>
      <c r="K79" s="143" t="s">
        <v>58</v>
      </c>
      <c r="L79" s="143" t="s">
        <v>57</v>
      </c>
    </row>
    <row r="80" spans="1:24" x14ac:dyDescent="0.3">
      <c r="A80" t="s">
        <v>303</v>
      </c>
      <c r="B80">
        <v>1</v>
      </c>
      <c r="C80">
        <v>0.44143532305702948</v>
      </c>
      <c r="D80">
        <v>0.48410037816987755</v>
      </c>
      <c r="E80">
        <v>0.45564429658894801</v>
      </c>
      <c r="F80">
        <v>0.48176795167728126</v>
      </c>
      <c r="G80">
        <v>0.38792470539715607</v>
      </c>
      <c r="H80">
        <v>0.23947146549460269</v>
      </c>
      <c r="I80">
        <v>0.30833382088679007</v>
      </c>
      <c r="J80">
        <v>6.4759262663569364E-2</v>
      </c>
      <c r="K80">
        <v>0.11453725388151617</v>
      </c>
      <c r="L80">
        <v>0.11001660210293304</v>
      </c>
    </row>
    <row r="81" spans="1:12" x14ac:dyDescent="0.3">
      <c r="B81">
        <v>2</v>
      </c>
      <c r="C81">
        <v>2.623520407158414E-3</v>
      </c>
      <c r="D81">
        <v>6.4041574643039926E-3</v>
      </c>
      <c r="E81">
        <v>2.0199899925227579E-2</v>
      </c>
      <c r="F81">
        <v>0.23544636376020017</v>
      </c>
      <c r="G81">
        <v>0.14115160425003154</v>
      </c>
      <c r="H81">
        <v>6.347988740077308E-2</v>
      </c>
      <c r="I81">
        <v>8.1536211291738062E-2</v>
      </c>
      <c r="J81">
        <v>9.7097113825893675E-3</v>
      </c>
      <c r="K81">
        <v>3.0618440454506027E-2</v>
      </c>
      <c r="L81">
        <v>2.4460431654676262E-2</v>
      </c>
    </row>
    <row r="82" spans="1:12" x14ac:dyDescent="0.3">
      <c r="B82">
        <v>3</v>
      </c>
      <c r="C82">
        <v>7.9051973956313594E-4</v>
      </c>
      <c r="D82">
        <v>1.3052184695283009E-3</v>
      </c>
      <c r="E82">
        <v>1.7915880459436245E-3</v>
      </c>
      <c r="F82">
        <v>7.159024961886333E-2</v>
      </c>
      <c r="G82">
        <v>9.8023774436170413E-2</v>
      </c>
      <c r="H82">
        <v>5.6258148931366991E-2</v>
      </c>
      <c r="I82">
        <v>6.7845710226085501E-2</v>
      </c>
      <c r="J82">
        <v>3.3424135568293867E-3</v>
      </c>
      <c r="K82">
        <v>1.3357619914996965E-2</v>
      </c>
      <c r="L82">
        <v>1.1068068622025458E-2</v>
      </c>
    </row>
    <row r="83" spans="1:12" x14ac:dyDescent="0.3">
      <c r="B83" s="30" t="s">
        <v>239</v>
      </c>
      <c r="C83" s="143" t="s">
        <v>54</v>
      </c>
      <c r="D83" s="143" t="s">
        <v>49</v>
      </c>
      <c r="E83" s="143" t="s">
        <v>52</v>
      </c>
      <c r="F83" s="143" t="s">
        <v>53</v>
      </c>
      <c r="G83" s="143" t="s">
        <v>55</v>
      </c>
      <c r="H83" s="143" t="s">
        <v>72</v>
      </c>
      <c r="I83" s="143" t="s">
        <v>50</v>
      </c>
      <c r="J83" s="143" t="s">
        <v>51</v>
      </c>
      <c r="K83" s="143" t="s">
        <v>58</v>
      </c>
      <c r="L83" s="143" t="s">
        <v>57</v>
      </c>
    </row>
    <row r="84" spans="1:12" x14ac:dyDescent="0.3">
      <c r="A84" t="s">
        <v>304</v>
      </c>
      <c r="B84">
        <v>1</v>
      </c>
      <c r="C84">
        <v>0.32212728590260176</v>
      </c>
      <c r="D84">
        <v>0.36729878168160224</v>
      </c>
      <c r="E84">
        <v>0.34617474961450784</v>
      </c>
      <c r="F84">
        <v>0.30828871966068105</v>
      </c>
      <c r="G84">
        <v>0.20497496164696721</v>
      </c>
      <c r="H84">
        <v>0.1349923751341838</v>
      </c>
      <c r="I84">
        <v>0.1512557984036107</v>
      </c>
      <c r="J84">
        <v>8.051874258401992E-2</v>
      </c>
      <c r="K84">
        <v>0.14415820973198021</v>
      </c>
      <c r="L84">
        <v>0.12562257885998895</v>
      </c>
    </row>
    <row r="85" spans="1:12" x14ac:dyDescent="0.3">
      <c r="B85">
        <v>2</v>
      </c>
      <c r="C85">
        <v>3.2456132606290607E-2</v>
      </c>
      <c r="D85">
        <v>6.3931661508763851E-2</v>
      </c>
      <c r="E85">
        <v>0.11286777762523245</v>
      </c>
      <c r="F85">
        <v>0.177185168045352</v>
      </c>
      <c r="G85">
        <v>6.4639303725799374E-2</v>
      </c>
      <c r="H85">
        <v>2.0854353544986708E-2</v>
      </c>
      <c r="I85">
        <v>2.9442099544485772E-2</v>
      </c>
      <c r="J85">
        <v>5.4815582332001945E-3</v>
      </c>
      <c r="K85">
        <v>9.454419290484864E-3</v>
      </c>
      <c r="L85">
        <v>1.8649695628112896E-2</v>
      </c>
    </row>
    <row r="86" spans="1:12" x14ac:dyDescent="0.3">
      <c r="B86">
        <v>3</v>
      </c>
      <c r="C86">
        <v>1.36439360548311E-3</v>
      </c>
      <c r="D86">
        <v>5.3943305431426222E-3</v>
      </c>
      <c r="E86">
        <v>1.6858401004832407E-2</v>
      </c>
      <c r="F86">
        <v>0.15887381343803006</v>
      </c>
      <c r="G86">
        <v>8.1228434751847434E-2</v>
      </c>
      <c r="H86">
        <v>3.2215633969583463E-2</v>
      </c>
      <c r="I86">
        <v>4.2905261398303314E-2</v>
      </c>
      <c r="J86">
        <v>3.3424135568293867E-3</v>
      </c>
      <c r="K86">
        <v>1.0061583832075635E-2</v>
      </c>
      <c r="L86">
        <v>1.7100166021029331E-2</v>
      </c>
    </row>
    <row r="88" spans="1:12" x14ac:dyDescent="0.3">
      <c r="B88" s="143" t="s">
        <v>54</v>
      </c>
      <c r="C88" s="143" t="s">
        <v>49</v>
      </c>
      <c r="D88" s="143" t="s">
        <v>52</v>
      </c>
      <c r="E88" s="143" t="s">
        <v>53</v>
      </c>
      <c r="F88" s="143" t="s">
        <v>55</v>
      </c>
      <c r="G88" s="143" t="s">
        <v>72</v>
      </c>
      <c r="H88" s="143" t="s">
        <v>50</v>
      </c>
      <c r="I88" s="143" t="s">
        <v>51</v>
      </c>
      <c r="J88" s="143" t="s">
        <v>58</v>
      </c>
      <c r="K88" s="143" t="s">
        <v>57</v>
      </c>
    </row>
    <row r="89" spans="1:12" x14ac:dyDescent="0.3">
      <c r="A89">
        <v>1</v>
      </c>
      <c r="B89" s="158">
        <v>147.2449</v>
      </c>
      <c r="C89" s="158">
        <v>58.227800000000002</v>
      </c>
      <c r="D89" s="158">
        <v>88.134100000000004</v>
      </c>
      <c r="E89" s="158">
        <v>53.589700000000001</v>
      </c>
      <c r="F89" s="158">
        <v>56.253700000000002</v>
      </c>
      <c r="G89" s="158">
        <v>43.410600000000002</v>
      </c>
      <c r="H89" s="158">
        <v>59.822499999999998</v>
      </c>
      <c r="I89" s="158">
        <v>5.9836999999999998</v>
      </c>
      <c r="J89" s="158">
        <v>2.3058000000000001</v>
      </c>
      <c r="K89" s="159">
        <v>1.8069999999999999</v>
      </c>
    </row>
    <row r="90" spans="1:12" x14ac:dyDescent="0.3">
      <c r="A90">
        <v>2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</row>
    <row r="91" spans="1:12" x14ac:dyDescent="0.3">
      <c r="A91">
        <v>3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</row>
    <row r="92" spans="1:12" x14ac:dyDescent="0.3">
      <c r="A92">
        <v>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</row>
    <row r="108" spans="1:2" x14ac:dyDescent="0.3">
      <c r="A108" s="77" t="s">
        <v>241</v>
      </c>
      <c r="B108" s="77"/>
    </row>
    <row r="109" spans="1:2" x14ac:dyDescent="0.3">
      <c r="A109" s="139" t="s">
        <v>242</v>
      </c>
      <c r="B109" s="77"/>
    </row>
    <row r="110" spans="1:2" x14ac:dyDescent="0.3">
      <c r="A110" s="139"/>
      <c r="B110" s="77"/>
    </row>
    <row r="111" spans="1:2" x14ac:dyDescent="0.3">
      <c r="A111" s="77" t="s">
        <v>160</v>
      </c>
      <c r="B111" s="77"/>
    </row>
    <row r="112" spans="1:2" x14ac:dyDescent="0.3">
      <c r="A112" s="140"/>
    </row>
    <row r="113" spans="1:26" ht="21" customHeight="1" x14ac:dyDescent="0.3">
      <c r="A113" s="141"/>
      <c r="B113" s="142"/>
      <c r="C113" s="143" t="s">
        <v>161</v>
      </c>
      <c r="D113" s="143" t="s">
        <v>54</v>
      </c>
      <c r="E113" s="143" t="s">
        <v>49</v>
      </c>
      <c r="F113" s="143" t="s">
        <v>52</v>
      </c>
      <c r="G113" s="143" t="s">
        <v>162</v>
      </c>
      <c r="H113" s="143" t="s">
        <v>53</v>
      </c>
      <c r="I113" s="143" t="s">
        <v>55</v>
      </c>
      <c r="J113" s="143" t="s">
        <v>72</v>
      </c>
      <c r="K113" s="143" t="s">
        <v>50</v>
      </c>
      <c r="L113" s="143" t="s">
        <v>163</v>
      </c>
      <c r="M113" s="143" t="s">
        <v>164</v>
      </c>
      <c r="N113" s="143" t="s">
        <v>51</v>
      </c>
      <c r="O113" s="143" t="s">
        <v>165</v>
      </c>
      <c r="P113" s="143" t="s">
        <v>166</v>
      </c>
      <c r="Q113" s="143" t="s">
        <v>167</v>
      </c>
      <c r="R113" s="143" t="s">
        <v>168</v>
      </c>
      <c r="S113" s="143" t="s">
        <v>58</v>
      </c>
      <c r="T113" s="143" t="s">
        <v>169</v>
      </c>
      <c r="U113" s="143" t="s">
        <v>170</v>
      </c>
      <c r="V113" s="143" t="s">
        <v>171</v>
      </c>
      <c r="W113" s="143" t="s">
        <v>172</v>
      </c>
      <c r="X113" s="143" t="s">
        <v>173</v>
      </c>
      <c r="Y113" s="143" t="s">
        <v>174</v>
      </c>
      <c r="Z113" s="143" t="s">
        <v>57</v>
      </c>
    </row>
    <row r="114" spans="1:26" ht="21" customHeight="1" x14ac:dyDescent="0.3">
      <c r="A114" s="141"/>
      <c r="B114" s="142"/>
      <c r="C114" s="143" t="s">
        <v>175</v>
      </c>
      <c r="D114" s="143" t="s">
        <v>176</v>
      </c>
      <c r="E114" s="143" t="s">
        <v>177</v>
      </c>
      <c r="F114" s="143" t="s">
        <v>178</v>
      </c>
      <c r="G114" s="143" t="s">
        <v>179</v>
      </c>
      <c r="H114" s="143" t="s">
        <v>180</v>
      </c>
      <c r="I114" s="143" t="s">
        <v>181</v>
      </c>
      <c r="J114" s="143" t="s">
        <v>182</v>
      </c>
      <c r="K114" s="143" t="s">
        <v>183</v>
      </c>
      <c r="L114" s="143" t="s">
        <v>184</v>
      </c>
      <c r="M114" s="143" t="s">
        <v>185</v>
      </c>
      <c r="N114" s="143" t="s">
        <v>186</v>
      </c>
      <c r="O114" s="143" t="s">
        <v>187</v>
      </c>
      <c r="P114" s="143" t="s">
        <v>188</v>
      </c>
      <c r="Q114" s="143" t="s">
        <v>189</v>
      </c>
      <c r="R114" s="143" t="s">
        <v>190</v>
      </c>
      <c r="S114" s="143" t="s">
        <v>191</v>
      </c>
      <c r="T114" s="143" t="s">
        <v>192</v>
      </c>
      <c r="U114" s="143" t="s">
        <v>193</v>
      </c>
      <c r="V114" s="143" t="s">
        <v>194</v>
      </c>
      <c r="W114" s="143" t="s">
        <v>195</v>
      </c>
      <c r="X114" s="143" t="s">
        <v>196</v>
      </c>
      <c r="Y114" s="143" t="s">
        <v>197</v>
      </c>
      <c r="Z114" s="143" t="s">
        <v>198</v>
      </c>
    </row>
    <row r="115" spans="1:26" ht="15" customHeight="1" x14ac:dyDescent="0.3">
      <c r="A115" s="144" t="s">
        <v>243</v>
      </c>
      <c r="B115" s="144"/>
      <c r="C115" s="145">
        <v>0.5</v>
      </c>
      <c r="D115" s="145">
        <v>0.05</v>
      </c>
      <c r="E115" s="145">
        <v>0.1</v>
      </c>
      <c r="F115" s="145">
        <v>0.05</v>
      </c>
      <c r="G115" s="145">
        <v>0.05</v>
      </c>
      <c r="H115" s="145">
        <v>0.2</v>
      </c>
      <c r="I115" s="145">
        <v>0.02</v>
      </c>
      <c r="J115" s="145">
        <v>0.02</v>
      </c>
      <c r="K115" s="145">
        <v>0.05</v>
      </c>
      <c r="L115" s="145">
        <v>0.05</v>
      </c>
      <c r="M115" s="145">
        <v>0.02</v>
      </c>
      <c r="N115" s="145">
        <v>0.02</v>
      </c>
      <c r="O115" s="145">
        <v>0.02</v>
      </c>
      <c r="P115" s="145">
        <v>0.02</v>
      </c>
      <c r="Q115" s="145">
        <v>0.02</v>
      </c>
      <c r="R115" s="145">
        <v>0.02</v>
      </c>
      <c r="S115" s="145">
        <v>0.02</v>
      </c>
      <c r="T115" s="145">
        <v>0.02</v>
      </c>
      <c r="U115" s="145">
        <v>0.05</v>
      </c>
      <c r="V115" s="145">
        <v>0.02</v>
      </c>
      <c r="W115" s="145">
        <v>0.02</v>
      </c>
      <c r="X115" s="145">
        <v>0.02</v>
      </c>
      <c r="Y115" s="145">
        <v>0.05</v>
      </c>
      <c r="Z115" s="145">
        <v>0.05</v>
      </c>
    </row>
    <row r="116" spans="1:26" ht="18.75" customHeight="1" x14ac:dyDescent="0.3">
      <c r="A116" s="146" t="s">
        <v>200</v>
      </c>
      <c r="B116" s="147" t="s">
        <v>201</v>
      </c>
      <c r="C116" s="148" t="s">
        <v>244</v>
      </c>
      <c r="D116" s="148" t="s">
        <v>244</v>
      </c>
      <c r="E116" s="148" t="s">
        <v>244</v>
      </c>
      <c r="F116" s="148" t="s">
        <v>244</v>
      </c>
      <c r="G116" s="148" t="s">
        <v>244</v>
      </c>
      <c r="H116" s="148" t="s">
        <v>244</v>
      </c>
      <c r="I116" s="148" t="s">
        <v>244</v>
      </c>
      <c r="J116" s="148" t="s">
        <v>244</v>
      </c>
      <c r="K116" s="148" t="s">
        <v>244</v>
      </c>
      <c r="L116" s="148" t="s">
        <v>244</v>
      </c>
      <c r="M116" s="148" t="s">
        <v>244</v>
      </c>
      <c r="N116" s="148" t="s">
        <v>244</v>
      </c>
      <c r="O116" s="148" t="s">
        <v>244</v>
      </c>
      <c r="P116" s="148" t="s">
        <v>244</v>
      </c>
      <c r="Q116" s="148" t="s">
        <v>244</v>
      </c>
      <c r="R116" s="148" t="s">
        <v>244</v>
      </c>
      <c r="S116" s="148" t="s">
        <v>244</v>
      </c>
      <c r="T116" s="148" t="s">
        <v>244</v>
      </c>
      <c r="U116" s="148" t="s">
        <v>244</v>
      </c>
      <c r="V116" s="148" t="s">
        <v>244</v>
      </c>
      <c r="W116" s="148" t="s">
        <v>244</v>
      </c>
      <c r="X116" s="148" t="s">
        <v>244</v>
      </c>
      <c r="Y116" s="148" t="s">
        <v>244</v>
      </c>
      <c r="Z116" s="148" t="s">
        <v>244</v>
      </c>
    </row>
    <row r="117" spans="1:26" x14ac:dyDescent="0.3">
      <c r="A117" s="149">
        <v>5</v>
      </c>
      <c r="B117" s="47" t="s">
        <v>252</v>
      </c>
      <c r="C117" s="150" t="s">
        <v>246</v>
      </c>
      <c r="D117" s="150" t="s">
        <v>204</v>
      </c>
      <c r="E117" s="150" t="s">
        <v>250</v>
      </c>
      <c r="F117" s="150">
        <v>0.12067260138476756</v>
      </c>
      <c r="G117" s="150" t="s">
        <v>204</v>
      </c>
      <c r="H117" s="150">
        <v>0.83020112100230792</v>
      </c>
      <c r="I117" s="150">
        <v>2.4262634826433049</v>
      </c>
      <c r="J117" s="150">
        <v>2.8333097828646787</v>
      </c>
      <c r="K117" s="150">
        <v>2.5920587819697611</v>
      </c>
      <c r="L117" s="150" t="s">
        <v>204</v>
      </c>
      <c r="M117" s="150" t="s">
        <v>205</v>
      </c>
      <c r="N117" s="150">
        <v>0.71923131270312279</v>
      </c>
      <c r="O117" s="150" t="s">
        <v>205</v>
      </c>
      <c r="P117" s="150" t="s">
        <v>205</v>
      </c>
      <c r="Q117" s="150" t="s">
        <v>205</v>
      </c>
      <c r="R117" s="150" t="s">
        <v>205</v>
      </c>
      <c r="S117" s="150">
        <v>0.23183081343318734</v>
      </c>
      <c r="T117" s="150" t="s">
        <v>205</v>
      </c>
      <c r="U117" s="150" t="s">
        <v>204</v>
      </c>
      <c r="V117" s="150" t="s">
        <v>205</v>
      </c>
      <c r="W117" s="150" t="s">
        <v>205</v>
      </c>
      <c r="X117" s="150" t="s">
        <v>205</v>
      </c>
      <c r="Y117" s="150" t="s">
        <v>204</v>
      </c>
      <c r="Z117" s="151">
        <v>0.11096980829918515</v>
      </c>
    </row>
    <row r="118" spans="1:26" x14ac:dyDescent="0.3">
      <c r="A118" s="149">
        <v>6</v>
      </c>
      <c r="B118" s="47" t="s">
        <v>253</v>
      </c>
      <c r="C118" s="150" t="s">
        <v>246</v>
      </c>
      <c r="D118" s="150">
        <v>0.22561547902678508</v>
      </c>
      <c r="E118" s="150">
        <v>0.24971121218684572</v>
      </c>
      <c r="F118" s="150">
        <v>0.3576456573532597</v>
      </c>
      <c r="G118" s="150" t="s">
        <v>204</v>
      </c>
      <c r="H118" s="150">
        <v>0.61475705725218399</v>
      </c>
      <c r="I118" s="150">
        <v>0.87168796476788679</v>
      </c>
      <c r="J118" s="150">
        <v>0.90814742617861532</v>
      </c>
      <c r="K118" s="150">
        <v>1.0608439823839435</v>
      </c>
      <c r="L118" s="150" t="s">
        <v>204</v>
      </c>
      <c r="M118" s="150" t="s">
        <v>205</v>
      </c>
      <c r="N118" s="150">
        <v>0.30773951339253486</v>
      </c>
      <c r="O118" s="150" t="s">
        <v>205</v>
      </c>
      <c r="P118" s="150" t="s">
        <v>205</v>
      </c>
      <c r="Q118" s="150" t="s">
        <v>205</v>
      </c>
      <c r="R118" s="150" t="s">
        <v>205</v>
      </c>
      <c r="S118" s="150">
        <v>0.12174211248285322</v>
      </c>
      <c r="T118" s="150" t="s">
        <v>205</v>
      </c>
      <c r="U118" s="150" t="s">
        <v>204</v>
      </c>
      <c r="V118" s="150" t="s">
        <v>205</v>
      </c>
      <c r="W118" s="150" t="s">
        <v>205</v>
      </c>
      <c r="X118" s="150" t="s">
        <v>205</v>
      </c>
      <c r="Y118" s="150" t="s">
        <v>204</v>
      </c>
      <c r="Z118" s="151">
        <v>0.10152696556205329</v>
      </c>
    </row>
    <row r="119" spans="1:26" x14ac:dyDescent="0.3">
      <c r="A119" s="149">
        <v>7</v>
      </c>
      <c r="B119" s="47" t="s">
        <v>254</v>
      </c>
      <c r="C119" s="150" t="s">
        <v>246</v>
      </c>
      <c r="D119" s="150">
        <v>0.16456749049429659</v>
      </c>
      <c r="E119" s="150">
        <v>0.20833333333333334</v>
      </c>
      <c r="F119" s="150">
        <v>0.19219344106463879</v>
      </c>
      <c r="G119" s="150" t="s">
        <v>204</v>
      </c>
      <c r="H119" s="150">
        <v>0.28447797845373896</v>
      </c>
      <c r="I119" s="150">
        <v>0.24051410012674274</v>
      </c>
      <c r="J119" s="150">
        <v>0.13525823827629913</v>
      </c>
      <c r="K119" s="150">
        <v>0.18912389100126745</v>
      </c>
      <c r="L119" s="150" t="s">
        <v>204</v>
      </c>
      <c r="M119" s="150" t="s">
        <v>205</v>
      </c>
      <c r="N119" s="150">
        <v>1.8417300380228138E-2</v>
      </c>
      <c r="O119" s="150" t="s">
        <v>205</v>
      </c>
      <c r="P119" s="150" t="s">
        <v>205</v>
      </c>
      <c r="Q119" s="150" t="s">
        <v>205</v>
      </c>
      <c r="R119" s="150" t="s">
        <v>205</v>
      </c>
      <c r="S119" s="150" t="s">
        <v>205</v>
      </c>
      <c r="T119" s="150" t="s">
        <v>205</v>
      </c>
      <c r="U119" s="150" t="s">
        <v>204</v>
      </c>
      <c r="V119" s="150" t="s">
        <v>205</v>
      </c>
      <c r="W119" s="150" t="s">
        <v>205</v>
      </c>
      <c r="X119" s="150" t="s">
        <v>205</v>
      </c>
      <c r="Y119" s="150" t="s">
        <v>204</v>
      </c>
      <c r="Z119" s="151" t="s">
        <v>204</v>
      </c>
    </row>
    <row r="120" spans="1:26" x14ac:dyDescent="0.3">
      <c r="A120" s="149">
        <v>8</v>
      </c>
      <c r="B120" s="47" t="s">
        <v>255</v>
      </c>
      <c r="C120" s="150" t="s">
        <v>246</v>
      </c>
      <c r="D120" s="150">
        <v>5.2026374327569851</v>
      </c>
      <c r="E120" s="150">
        <v>2.1138456357400499</v>
      </c>
      <c r="F120" s="150">
        <v>1.628455205296135</v>
      </c>
      <c r="G120" s="150" t="s">
        <v>204</v>
      </c>
      <c r="H120" s="150">
        <v>0.5515921196061575</v>
      </c>
      <c r="I120" s="150">
        <v>0.3450109449914478</v>
      </c>
      <c r="J120" s="150">
        <v>0.28031585384226804</v>
      </c>
      <c r="K120" s="150">
        <v>0.28944406533317968</v>
      </c>
      <c r="L120" s="150" t="s">
        <v>204</v>
      </c>
      <c r="M120" s="150" t="s">
        <v>205</v>
      </c>
      <c r="N120" s="150">
        <v>9.8992351799498376E-2</v>
      </c>
      <c r="O120" s="150" t="s">
        <v>205</v>
      </c>
      <c r="P120" s="150" t="s">
        <v>205</v>
      </c>
      <c r="Q120" s="150" t="s">
        <v>205</v>
      </c>
      <c r="R120" s="150" t="s">
        <v>205</v>
      </c>
      <c r="S120" s="150">
        <v>2.2067229720747625E-2</v>
      </c>
      <c r="T120" s="150" t="s">
        <v>205</v>
      </c>
      <c r="U120" s="150" t="s">
        <v>204</v>
      </c>
      <c r="V120" s="150" t="s">
        <v>205</v>
      </c>
      <c r="W120" s="150" t="s">
        <v>205</v>
      </c>
      <c r="X120" s="150" t="s">
        <v>205</v>
      </c>
      <c r="Y120" s="150" t="s">
        <v>204</v>
      </c>
      <c r="Z120" s="151" t="s">
        <v>204</v>
      </c>
    </row>
    <row r="121" spans="1:26" x14ac:dyDescent="0.3">
      <c r="B121" s="143" t="s">
        <v>54</v>
      </c>
      <c r="C121" s="143" t="s">
        <v>49</v>
      </c>
      <c r="D121" s="143" t="s">
        <v>52</v>
      </c>
      <c r="E121" s="143" t="s">
        <v>53</v>
      </c>
      <c r="F121" s="143" t="s">
        <v>55</v>
      </c>
      <c r="G121" s="143" t="s">
        <v>72</v>
      </c>
      <c r="H121" s="143" t="s">
        <v>50</v>
      </c>
      <c r="I121" s="143" t="s">
        <v>51</v>
      </c>
      <c r="J121" s="143" t="s">
        <v>58</v>
      </c>
      <c r="K121" s="143" t="s">
        <v>57</v>
      </c>
      <c r="L121" s="163" t="s">
        <v>257</v>
      </c>
    </row>
    <row r="122" spans="1:26" x14ac:dyDescent="0.3">
      <c r="A122" s="30">
        <v>4.5</v>
      </c>
      <c r="B122" s="158">
        <v>0.05</v>
      </c>
      <c r="C122" s="158">
        <v>0.1</v>
      </c>
      <c r="D122" s="158">
        <v>0.12067260138476756</v>
      </c>
      <c r="E122" s="158">
        <v>0.83020112100230792</v>
      </c>
      <c r="F122" s="158">
        <v>2.4262634826433049</v>
      </c>
      <c r="G122" s="158">
        <v>2.8333097828646787</v>
      </c>
      <c r="H122" s="158">
        <v>2.5920587819697611</v>
      </c>
      <c r="I122" s="158">
        <v>0.71923131270312279</v>
      </c>
      <c r="J122" s="158">
        <v>0.23183081343318734</v>
      </c>
      <c r="K122" s="159">
        <v>0.11096980829918515</v>
      </c>
      <c r="L122" s="164">
        <f>3.75/100</f>
        <v>3.7499999999999999E-2</v>
      </c>
    </row>
    <row r="123" spans="1:26" x14ac:dyDescent="0.3">
      <c r="A123">
        <v>4</v>
      </c>
      <c r="B123" s="150">
        <v>0.22561547902678508</v>
      </c>
      <c r="C123" s="150">
        <v>0.24971121218684572</v>
      </c>
      <c r="D123" s="150">
        <v>0.3576456573532597</v>
      </c>
      <c r="E123" s="150">
        <v>0.61475705725218399</v>
      </c>
      <c r="F123" s="150">
        <v>0.87168796476788679</v>
      </c>
      <c r="G123" s="150">
        <v>0.90814742617861532</v>
      </c>
      <c r="H123" s="150">
        <v>1.0608439823839435</v>
      </c>
      <c r="I123" s="150">
        <v>0.30773951339253486</v>
      </c>
      <c r="J123" s="150">
        <v>0.12174211248285322</v>
      </c>
      <c r="K123" s="151">
        <v>0.10152696556205329</v>
      </c>
      <c r="L123" s="164">
        <f>8.59/100</f>
        <v>8.5900000000000004E-2</v>
      </c>
    </row>
    <row r="124" spans="1:26" x14ac:dyDescent="0.3">
      <c r="A124">
        <v>3</v>
      </c>
      <c r="B124" s="150">
        <v>0.16456749049429659</v>
      </c>
      <c r="C124" s="150">
        <v>0.20833333333333334</v>
      </c>
      <c r="D124" s="150">
        <v>0.19219344106463879</v>
      </c>
      <c r="E124" s="150">
        <v>0.28447797845373896</v>
      </c>
      <c r="F124" s="150">
        <v>0.24051410012674274</v>
      </c>
      <c r="G124" s="150">
        <v>0.13525823827629913</v>
      </c>
      <c r="H124" s="150">
        <v>0.18912389100126745</v>
      </c>
      <c r="I124" s="150">
        <v>1.8417300380228138E-2</v>
      </c>
      <c r="J124" s="150">
        <v>0.02</v>
      </c>
      <c r="K124" s="151">
        <v>0.05</v>
      </c>
      <c r="L124" s="164">
        <f>6.22/100</f>
        <v>6.2199999999999998E-2</v>
      </c>
    </row>
    <row r="125" spans="1:26" x14ac:dyDescent="0.3">
      <c r="A125">
        <v>2</v>
      </c>
      <c r="B125" s="150">
        <v>5.2026374327569851</v>
      </c>
      <c r="C125" s="150">
        <v>2.1138456357400499</v>
      </c>
      <c r="D125" s="150">
        <v>1.628455205296135</v>
      </c>
      <c r="E125" s="150">
        <v>0.5515921196061575</v>
      </c>
      <c r="F125" s="150">
        <v>0.3450109449914478</v>
      </c>
      <c r="G125" s="150">
        <v>0.28031585384226804</v>
      </c>
      <c r="H125" s="150">
        <v>0.28944406533317968</v>
      </c>
      <c r="I125" s="150">
        <v>9.8992351799498376E-2</v>
      </c>
      <c r="J125" s="150">
        <v>2.2067229720747625E-2</v>
      </c>
      <c r="K125" s="151">
        <v>0.05</v>
      </c>
      <c r="L125" s="164">
        <f>7.41/100</f>
        <v>7.4099999999999999E-2</v>
      </c>
    </row>
    <row r="147" spans="1:4" ht="28.8" x14ac:dyDescent="0.3">
      <c r="A147" s="179" t="s">
        <v>217</v>
      </c>
      <c r="B147" s="179" t="s">
        <v>307</v>
      </c>
      <c r="C147" s="179" t="s">
        <v>308</v>
      </c>
    </row>
    <row r="148" spans="1:4" x14ac:dyDescent="0.3">
      <c r="A148">
        <v>1</v>
      </c>
      <c r="B148" t="s">
        <v>309</v>
      </c>
      <c r="C148">
        <v>1208</v>
      </c>
    </row>
    <row r="149" spans="1:4" x14ac:dyDescent="0.3">
      <c r="A149">
        <v>2</v>
      </c>
      <c r="B149" t="s">
        <v>309</v>
      </c>
      <c r="C149">
        <v>1055</v>
      </c>
    </row>
    <row r="150" spans="1:4" x14ac:dyDescent="0.3">
      <c r="A150">
        <v>3</v>
      </c>
      <c r="B150" t="s">
        <v>309</v>
      </c>
      <c r="C150">
        <v>960</v>
      </c>
    </row>
    <row r="151" spans="1:4" x14ac:dyDescent="0.3">
      <c r="C151" s="30" t="s">
        <v>240</v>
      </c>
    </row>
    <row r="152" spans="1:4" x14ac:dyDescent="0.3">
      <c r="A152">
        <v>1</v>
      </c>
      <c r="B152" s="177"/>
      <c r="C152" s="180">
        <v>14.9232</v>
      </c>
      <c r="D152" t="s">
        <v>310</v>
      </c>
    </row>
    <row r="153" spans="1:4" x14ac:dyDescent="0.3">
      <c r="A153">
        <v>2</v>
      </c>
      <c r="B153" s="177"/>
      <c r="C153" s="180">
        <v>0.55979999999999996</v>
      </c>
      <c r="D153" t="s">
        <v>310</v>
      </c>
    </row>
    <row r="154" spans="1:4" x14ac:dyDescent="0.3">
      <c r="A154">
        <v>3</v>
      </c>
      <c r="B154" s="177"/>
      <c r="C154" s="180">
        <v>0.14610000000000001</v>
      </c>
      <c r="D154" t="s">
        <v>310</v>
      </c>
    </row>
    <row r="158" spans="1:4" x14ac:dyDescent="0.3">
      <c r="A158" s="174"/>
      <c r="B158" s="175"/>
      <c r="C158" s="180"/>
    </row>
    <row r="159" spans="1:4" x14ac:dyDescent="0.3">
      <c r="A159" s="176"/>
      <c r="B159" s="177"/>
      <c r="C159" s="178"/>
    </row>
    <row r="160" spans="1:4" x14ac:dyDescent="0.3">
      <c r="A160" s="176"/>
      <c r="B160" s="177"/>
      <c r="C160" s="178"/>
    </row>
    <row r="161" spans="1:3" x14ac:dyDescent="0.3">
      <c r="A161" s="176"/>
      <c r="B161" s="177"/>
      <c r="C161" s="178"/>
    </row>
  </sheetData>
  <dataValidations disablePrompts="1" count="1">
    <dataValidation type="decimal" errorStyle="warning" operator="greaterThan" allowBlank="1" showInputMessage="1" showErrorMessage="1" sqref="K23 Z5:Z26 K50 N32:N53 L56:L61 I61 L73:L77 L65:L69 K89 Z117:Z120 K122:K125" xr:uid="{AAB9E8F0-093B-4B39-9B8E-E4807672205A}">
      <formula1>0.01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H.1 coarse sand</vt:lpstr>
      <vt:lpstr>H.1 fine sand</vt:lpstr>
      <vt:lpstr>H.2 Kd and Kia</vt:lpstr>
      <vt:lpstr>H.2 coarse sand</vt:lpstr>
      <vt:lpstr>H.2 fine sand</vt:lpstr>
      <vt:lpstr>H.3 coarse sand</vt:lpstr>
      <vt:lpstr>H.3 fine sand + Br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pertoso</dc:creator>
  <cp:lastModifiedBy>Pertoso  Alessandra</cp:lastModifiedBy>
  <dcterms:created xsi:type="dcterms:W3CDTF">2015-06-05T18:17:20Z</dcterms:created>
  <dcterms:modified xsi:type="dcterms:W3CDTF">2025-07-09T07:17:19Z</dcterms:modified>
</cp:coreProperties>
</file>