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40C4B687-61A9-4D74-86F8-0F2B52204D15}" xr6:coauthVersionLast="47" xr6:coauthVersionMax="47" xr10:uidLastSave="{00000000-0000-0000-0000-000000000000}"/>
  <bookViews>
    <workbookView xWindow="-120" yWindow="-120" windowWidth="20730" windowHeight="11160" firstSheet="2" activeTab="3" xr2:uid="{3ADC5DE4-88CB-421E-9743-C8DA6CC23D71}"/>
  </bookViews>
  <sheets>
    <sheet name="Datas of Aircraft" sheetId="5" r:id="rId1"/>
    <sheet name="LCC OF COMPONENTS" sheetId="9" r:id="rId2"/>
    <sheet name="LCC of LG" sheetId="8" r:id="rId3"/>
    <sheet name="LCA" sheetId="1" r:id="rId4"/>
    <sheet name="GROUPING" sheetId="4" r:id="rId5"/>
    <sheet name="Total Climate Change" sheetId="7" r:id="rId6"/>
    <sheet name="LCA and LCC functions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8" i="1" l="1"/>
  <c r="C80" i="1"/>
  <c r="E176" i="1"/>
  <c r="D22" i="1"/>
  <c r="C58" i="8"/>
  <c r="B22" i="8"/>
  <c r="B21" i="8"/>
  <c r="B16" i="8"/>
  <c r="E175" i="1"/>
  <c r="B65" i="1"/>
  <c r="C150" i="1"/>
  <c r="E22" i="1"/>
  <c r="E173" i="1"/>
  <c r="E172" i="1"/>
  <c r="C173" i="1"/>
  <c r="C172" i="1"/>
  <c r="E171" i="1"/>
  <c r="E170" i="1"/>
  <c r="C170" i="1"/>
  <c r="C171" i="1"/>
  <c r="E146" i="1"/>
  <c r="C169" i="1"/>
  <c r="E23" i="1"/>
  <c r="E169" i="1"/>
  <c r="C156" i="1"/>
  <c r="C153" i="1"/>
  <c r="C74" i="1"/>
  <c r="H17" i="7"/>
  <c r="K38" i="8"/>
  <c r="D32" i="1"/>
  <c r="D23" i="1"/>
  <c r="C34" i="8"/>
  <c r="K15" i="9"/>
  <c r="C40" i="8"/>
  <c r="C41" i="8"/>
  <c r="C42" i="8" s="1"/>
  <c r="B32" i="1"/>
  <c r="F54" i="8"/>
  <c r="K49" i="9"/>
  <c r="K50" i="9"/>
  <c r="C39" i="8"/>
  <c r="C54" i="8"/>
  <c r="C38" i="8"/>
  <c r="K188" i="9"/>
  <c r="J202" i="9"/>
  <c r="K194" i="9"/>
  <c r="K193" i="9"/>
  <c r="K192" i="9"/>
  <c r="K152" i="9"/>
  <c r="J166" i="9"/>
  <c r="K158" i="9"/>
  <c r="K157" i="9"/>
  <c r="K156" i="9"/>
  <c r="K116" i="9"/>
  <c r="J130" i="9"/>
  <c r="K122" i="9"/>
  <c r="K121" i="9"/>
  <c r="K120" i="9"/>
  <c r="J94" i="9"/>
  <c r="K80" i="9"/>
  <c r="K86" i="9"/>
  <c r="K87" i="9" s="1"/>
  <c r="K88" i="9" s="1"/>
  <c r="K85" i="9"/>
  <c r="K84" i="9"/>
  <c r="J58" i="9"/>
  <c r="K44" i="9"/>
  <c r="K9" i="9"/>
  <c r="K16" i="9" s="1"/>
  <c r="K48" i="9"/>
  <c r="J23" i="9"/>
  <c r="J24" i="9"/>
  <c r="L24" i="9" s="1"/>
  <c r="J26" i="9"/>
  <c r="L26" i="9" s="1"/>
  <c r="J25" i="9"/>
  <c r="L25" i="9" s="1"/>
  <c r="B52" i="8"/>
  <c r="K17" i="9"/>
  <c r="K13" i="9"/>
  <c r="K14" i="9"/>
  <c r="D21" i="1"/>
  <c r="C49" i="1" s="1"/>
  <c r="C138" i="1"/>
  <c r="D28" i="1"/>
  <c r="C128" i="1"/>
  <c r="C117" i="1"/>
  <c r="D27" i="1"/>
  <c r="D26" i="1"/>
  <c r="C6" i="7"/>
  <c r="E6" i="7"/>
  <c r="D6" i="7"/>
  <c r="D25" i="1"/>
  <c r="C106" i="1"/>
  <c r="C95" i="1"/>
  <c r="D24" i="1"/>
  <c r="C85" i="1"/>
  <c r="C84" i="1"/>
  <c r="C73" i="1"/>
  <c r="B54" i="1"/>
  <c r="F32" i="1"/>
  <c r="E32" i="1"/>
  <c r="C32" i="1"/>
  <c r="D33" i="1" s="1"/>
  <c r="H18" i="1"/>
  <c r="B10" i="7"/>
  <c r="D5" i="1"/>
  <c r="D7" i="1"/>
  <c r="D6" i="1"/>
  <c r="B50" i="8"/>
  <c r="B51" i="8"/>
  <c r="H26" i="7"/>
  <c r="H25" i="7"/>
  <c r="H24" i="7"/>
  <c r="D24" i="7"/>
  <c r="B24" i="7"/>
  <c r="F26" i="7"/>
  <c r="E26" i="7"/>
  <c r="D26" i="7"/>
  <c r="C26" i="7"/>
  <c r="B26" i="7"/>
  <c r="F25" i="7"/>
  <c r="E25" i="7"/>
  <c r="D25" i="7"/>
  <c r="C25" i="7"/>
  <c r="B25" i="7"/>
  <c r="F24" i="7"/>
  <c r="E24" i="7"/>
  <c r="C24" i="7"/>
  <c r="H19" i="7"/>
  <c r="H18" i="7"/>
  <c r="F19" i="7"/>
  <c r="E19" i="7"/>
  <c r="D19" i="7"/>
  <c r="C19" i="7"/>
  <c r="F18" i="7"/>
  <c r="E18" i="7"/>
  <c r="D18" i="7"/>
  <c r="C18" i="7"/>
  <c r="B18" i="7"/>
  <c r="F17" i="7"/>
  <c r="E17" i="7"/>
  <c r="D17" i="7"/>
  <c r="C17" i="7"/>
  <c r="B19" i="7"/>
  <c r="B17" i="7"/>
  <c r="F12" i="7"/>
  <c r="E12" i="7"/>
  <c r="D12" i="7"/>
  <c r="C12" i="7"/>
  <c r="B12" i="7"/>
  <c r="H12" i="7"/>
  <c r="F11" i="7"/>
  <c r="E11" i="7"/>
  <c r="D11" i="7"/>
  <c r="C11" i="7"/>
  <c r="B11" i="7"/>
  <c r="H11" i="7" s="1"/>
  <c r="F10" i="7"/>
  <c r="E10" i="7"/>
  <c r="D10" i="7"/>
  <c r="C10" i="7"/>
  <c r="H10" i="7"/>
  <c r="C23" i="5"/>
  <c r="B19" i="8" l="1"/>
  <c r="B18" i="8"/>
  <c r="B17" i="8"/>
  <c r="B20" i="8" s="1"/>
  <c r="B25" i="8" s="1"/>
  <c r="D42" i="1"/>
  <c r="D40" i="1"/>
  <c r="D39" i="1"/>
  <c r="D41" i="1"/>
  <c r="K28" i="9"/>
  <c r="K51" i="9"/>
  <c r="J59" i="9"/>
  <c r="L59" i="9" s="1"/>
  <c r="J61" i="9"/>
  <c r="L61" i="9" s="1"/>
  <c r="J60" i="9"/>
  <c r="L60" i="9" s="1"/>
  <c r="J96" i="9"/>
  <c r="L96" i="9" s="1"/>
  <c r="J97" i="9"/>
  <c r="L97" i="9" s="1"/>
  <c r="C87" i="1"/>
  <c r="C96" i="1"/>
  <c r="C98" i="1" s="1"/>
  <c r="E24" i="1"/>
  <c r="E25" i="1"/>
  <c r="C107" i="1"/>
  <c r="E26" i="1"/>
  <c r="C118" i="1"/>
  <c r="C120" i="1" s="1"/>
  <c r="C129" i="1"/>
  <c r="C131" i="1" s="1"/>
  <c r="E27" i="1"/>
  <c r="C139" i="1"/>
  <c r="C141" i="1" s="1"/>
  <c r="E28" i="1"/>
  <c r="J205" i="9"/>
  <c r="L205" i="9" s="1"/>
  <c r="J204" i="9"/>
  <c r="L204" i="9" s="1"/>
  <c r="J203" i="9"/>
  <c r="L203" i="9" s="1"/>
  <c r="K207" i="9" s="1"/>
  <c r="K195" i="9"/>
  <c r="K196" i="9" s="1"/>
  <c r="J169" i="9"/>
  <c r="L169" i="9" s="1"/>
  <c r="J168" i="9"/>
  <c r="L168" i="9" s="1"/>
  <c r="J167" i="9"/>
  <c r="L167" i="9" s="1"/>
  <c r="K171" i="9" s="1"/>
  <c r="K159" i="9"/>
  <c r="K160" i="9" s="1"/>
  <c r="J133" i="9"/>
  <c r="L133" i="9" s="1"/>
  <c r="J132" i="9"/>
  <c r="L132" i="9" s="1"/>
  <c r="J131" i="9"/>
  <c r="L131" i="9" s="1"/>
  <c r="K135" i="9" s="1"/>
  <c r="K123" i="9"/>
  <c r="K124" i="9" s="1"/>
  <c r="J95" i="9"/>
  <c r="L95" i="9" s="1"/>
  <c r="K99" i="9" s="1"/>
  <c r="K52" i="9"/>
  <c r="C109" i="1"/>
  <c r="C53" i="1"/>
  <c r="C52" i="1"/>
  <c r="C51" i="1"/>
  <c r="C50" i="1"/>
  <c r="D8" i="1"/>
  <c r="D43" i="1" l="1"/>
  <c r="B66" i="1" s="1"/>
  <c r="K63" i="9"/>
  <c r="C77" i="1"/>
  <c r="C76" i="1"/>
  <c r="C142" i="1"/>
  <c r="C132" i="1"/>
  <c r="C121" i="1"/>
  <c r="C88" i="1"/>
  <c r="C99" i="1"/>
  <c r="C110" i="1"/>
  <c r="C54" i="1"/>
  <c r="C89" i="1" l="1"/>
  <c r="C100" i="1"/>
  <c r="C79" i="1"/>
  <c r="C133" i="1" l="1"/>
  <c r="C144" i="1"/>
  <c r="C143" i="1"/>
  <c r="C134" i="1"/>
  <c r="C122" i="1"/>
  <c r="C123" i="1"/>
  <c r="C112" i="1"/>
  <c r="C111" i="1"/>
  <c r="C101" i="1"/>
  <c r="C9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tc={C6DE634C-211D-4885-A360-AA12C96E9049}</author>
    <author>tc={72772A1A-8BF6-4837-9EFF-9E9BE5AB4A7B}</author>
    <author>tc={DD67A243-25C0-45A4-A622-E8CB24554992}</author>
    <author>tc={CF20CA41-76C2-403E-A23E-49B4223DE101}</author>
    <author>tc={6DB6A591-EEB4-4CA2-865E-B04CAF3507C9}</author>
    <author>tc={F704C249-6709-4F7F-90F5-4194D9C124CE}</author>
  </authors>
  <commentList>
    <comment ref="D5" authorId="0" shapeId="0" xr:uid="{C6DE634C-211D-4885-A360-AA12C96E9049}">
      <text>
        <t>[Threaded comment]
Your version of Excel allows you to read this threaded comment; however, any edits to it will get removed if the file is opened in a newer version of Excel. Learn more: https://go.microsoft.com/fwlink/?linkid=870924
Comment:
    Il risultato significa che il contributo di NOX vale x volte le unità di CO2 per la distanza D considerata</t>
      </text>
    </comment>
    <comment ref="C7" authorId="1" shapeId="0" xr:uid="{72772A1A-8BF6-4837-9EFF-9E9BE5AB4A7B}">
      <text>
        <t>[Threaded comment]
Your version of Excel allows you to read this threaded comment; however, any edits to it will get removed if the file is opened in a newer version of Excel. Learn more: https://go.microsoft.com/fwlink/?linkid=870924
Comment:
    Contributo dovuto agli Idrocarburi ciclici</t>
      </text>
    </comment>
    <comment ref="D8" authorId="2" shapeId="0" xr:uid="{DD67A243-25C0-45A4-A622-E8CB2455499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 obtained factors indicate that the impact of all emissions is X times the impact of CO2 over the considered time horizon. </t>
      </text>
    </comment>
    <comment ref="A16" authorId="3" shapeId="0" xr:uid="{CF20CA41-76C2-403E-A23E-49B4223DE101}">
      <text>
        <t>[Threaded comment]
Your version of Excel allows you to read this threaded comment; however, any edits to it will get removed if the file is opened in a newer version of Excel. Learn more: https://go.microsoft.com/fwlink/?linkid=870924
Comment:
    Passenger-Kilometers: un PKM rappresenta il trasporto di un passeggero su una distanza di un chilometro</t>
      </text>
    </comment>
    <comment ref="D16" authorId="4" shapeId="0" xr:uid="{6DB6A591-EEB4-4CA2-865E-B04CAF3507C9}">
      <text>
        <t>[Threaded comment]
Your version of Excel allows you to read this threaded comment; however, any edits to it will get removed if the file is opened in a newer version of Excel. Learn more: https://go.microsoft.com/fwlink/?linkid=870924
Comment:
    Questo valore è molto importante perché rappresenta i gCO2 eq di un A320, dunque tiene conto di termini come il peso del aeromobile e tanti altri dati</t>
      </text>
    </comment>
    <comment ref="D43" authorId="5" shapeId="0" xr:uid="{F704C249-6709-4F7F-90F5-4194D9C124C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 obtained factors indicate that the impact of all emissions is X times the impact of CO2 over the considered time horizon. 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tc={FDCC4AFE-1A1A-4B3A-8614-ABE85F0375A1}</author>
    <author>tc={70D9EC9E-77B9-4C94-8D6B-AEC0105BADAF}</author>
    <author>tc={BE98AE91-DA3D-4BAE-B3DA-288E6CEEDA92}</author>
    <author>tc={CD04EF3B-E0C7-488D-903A-217BF3830C81}</author>
  </authors>
  <commentList>
    <comment ref="A1" authorId="0" shapeId="0" xr:uid="{FDCC4AFE-1A1A-4B3A-8614-ABE85F0375A1}">
      <text>
        <t>[Threaded comment]
Your version of Excel allows you to read this threaded comment; however, any edits to it will get removed if the file is opened in a newer version of Excel. Learn more: https://go.microsoft.com/fwlink/?linkid=870924
Comment:
    Costi direttamente collegati all'operatività dell'aeromobile e del servizio di volo</t>
      </text>
    </comment>
    <comment ref="A9" authorId="1" shapeId="0" xr:uid="{70D9EC9E-77B9-4C94-8D6B-AEC0105BADAF}">
      <text>
        <t>[Threaded comment]
Your version of Excel allows you to read this threaded comment; however, any edits to it will get removed if the file is opened in a newer version of Excel. Learn more: https://go.microsoft.com/fwlink/?linkid=870924
Comment:
    Costi amministrativi e di supporto non direttamente collegati all'operatività del volo</t>
      </text>
    </comment>
    <comment ref="A14" authorId="2" shapeId="0" xr:uid="{BE98AE91-DA3D-4BAE-B3DA-288E6CEEDA92}">
      <text>
        <t>[Threaded comment]
Your version of Excel allows you to read this threaded comment; however, any edits to it will get removed if the file is opened in a newer version of Excel. Learn more: https://go.microsoft.com/fwlink/?linkid=870924
Comment:
    Costi relativi all'utilizzo di strutture fisiche e servizi di supporto</t>
      </text>
    </comment>
    <comment ref="A19" authorId="3" shapeId="0" xr:uid="{CD04EF3B-E0C7-488D-903A-217BF3830C81}">
      <text>
        <t>[Threaded comment]
Your version of Excel allows you to read this threaded comment; however, any edits to it will get removed if the file is opened in a newer version of Excel. Learn more: https://go.microsoft.com/fwlink/?linkid=870924
Comment:
    Carburanti specifici per le operazioni di volo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tc={325CBAFF-DBD2-4EDD-A1E9-76BB6F6B1D99}</author>
    <author>tc={B1F859A9-6147-4735-BA0B-0000A8F342B5}</author>
    <author>tc={51038D33-9E75-4ECC-B8BC-4960F9F9DA32}</author>
    <author>tc={284AFDE6-1A2A-483B-A296-1AD5DF870558}</author>
    <author>tc={EE433482-E1C1-4E44-9E71-0C3D984128EB}</author>
    <author>tc={36F10A7C-7AD1-4CB5-B70F-E25904D14E70}</author>
  </authors>
  <commentList>
    <comment ref="A8" authorId="0" shapeId="0" xr:uid="{325CBAFF-DBD2-4EDD-A1E9-76BB6F6B1D99}">
      <text>
        <t>[Threaded comment]
Your version of Excel allows you to read this threaded comment; however, any edits to it will get removed if the file is opened in a newer version of Excel. Learn more: https://go.microsoft.com/fwlink/?linkid=870924
Comment:
    Passenger-Kilometers: un PKM rappresenta il trasporto di un passeggero su una distanza di un chilometro</t>
      </text>
    </comment>
    <comment ref="E9" authorId="1" shapeId="0" xr:uid="{B1F859A9-6147-4735-BA0B-0000A8F342B5}">
      <text>
        <t>[Threaded comment]
Your version of Excel allows you to read this threaded comment; however, any edits to it will get removed if the file is opened in a newer version of Excel. Learn more: https://go.microsoft.com/fwlink/?linkid=870924
Comment:
    Infrastructure Operations</t>
      </text>
    </comment>
    <comment ref="F9" authorId="2" shapeId="0" xr:uid="{51038D33-9E75-4ECC-B8BC-4960F9F9DA32}">
      <text>
        <t>[Threaded comment]
Your version of Excel allows you to read this threaded comment; however, any edits to it will get removed if the file is opened in a newer version of Excel. Learn more: https://go.microsoft.com/fwlink/?linkid=870924
Comment:
    Infrastructure Constructions</t>
      </text>
    </comment>
    <comment ref="A15" authorId="3" shapeId="0" xr:uid="{284AFDE6-1A2A-483B-A296-1AD5DF870558}">
      <text>
        <t>[Threaded comment]
Your version of Excel allows you to read this threaded comment; however, any edits to it will get removed if the file is opened in a newer version of Excel. Learn more: https://go.microsoft.com/fwlink/?linkid=870924
Comment:
    Vehicle Kilometers: un VKM rappresenta il movimento di un veicolo su una distanza di un chilometro</t>
      </text>
    </comment>
    <comment ref="A22" authorId="4" shapeId="0" xr:uid="{EE433482-E1C1-4E44-9E71-0C3D984128EB}">
      <text>
        <t>[Threaded comment]
Your version of Excel allows you to read this threaded comment; however, any edits to it will get removed if the file is opened in a newer version of Excel. Learn more: https://go.microsoft.com/fwlink/?linkid=870924
Comment:
    Lane Kilometers: rappresenta un chilometro di corsia disponibile sulla strada</t>
      </text>
    </comment>
    <comment ref="K23" authorId="5" shapeId="0" xr:uid="{36F10A7C-7AD1-4CB5-B70F-E25904D14E70}">
      <text>
        <t>[Threaded comment]
Your version of Excel allows you to read this threaded comment; however, any edits to it will get removed if the file is opened in a newer version of Excel. Learn more: https://go.microsoft.com/fwlink/?linkid=870924
Comment:
    kilo tonnellate di CO2 equivalente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tc={28A24AB1-F285-4751-B22F-0F7C0C9968A2}</author>
    <author>tc={4984CBEF-02AB-467C-BA09-263C867002DE}</author>
  </authors>
  <commentList>
    <comment ref="D48" authorId="0" shapeId="0" xr:uid="{28A24AB1-F285-4751-B22F-0F7C0C9968A2}">
      <text>
        <t>[Threaded comment]
Your version of Excel allows you to read this threaded comment; however, any edits to it will get removed if the file is opened in a newer version of Excel. Learn more: https://go.microsoft.com/fwlink/?linkid=870924
Comment:
    La funzione main permette di ottenere tutti gli ouput, e in aggiunta ad essi anche le total_aircraft_emissions (= total_sum + total_emissions_EoL)</t>
      </text>
    </comment>
    <comment ref="D159" authorId="1" shapeId="0" xr:uid="{4984CBEF-02AB-467C-BA09-263C867002DE}">
      <text>
        <t>[Threaded comment]
Your version of Excel allows you to read this threaded comment; however, any edits to it will get removed if the file is opened in a newer version of Excel. Learn more: https://go.microsoft.com/fwlink/?linkid=870924
Comment:
    Incluso anche il Total Landing Gear Cost e Total Landing Gear Emissions</t>
      </text>
    </comment>
  </commentList>
</comments>
</file>

<file path=xl/sharedStrings.xml><?xml version="1.0" encoding="utf-8"?>
<sst xmlns="http://schemas.openxmlformats.org/spreadsheetml/2006/main" count="1161" uniqueCount="505">
  <si>
    <t>Vehicle Active Operation</t>
  </si>
  <si>
    <t>Vehicle Inactive Operation</t>
  </si>
  <si>
    <t>Vehicle Manufacturing</t>
  </si>
  <si>
    <t>Vehicle Maintenance</t>
  </si>
  <si>
    <t>Infrastructure Construction</t>
  </si>
  <si>
    <t>Infrastructure Operation</t>
  </si>
  <si>
    <t>Fuel Production</t>
  </si>
  <si>
    <t>Vehicle Parking</t>
  </si>
  <si>
    <t>Take Off</t>
  </si>
  <si>
    <t>Climb out</t>
  </si>
  <si>
    <t>Cruise</t>
  </si>
  <si>
    <t>Approach</t>
  </si>
  <si>
    <t>Landing</t>
  </si>
  <si>
    <t>Auxiliary Power Unit Operation</t>
  </si>
  <si>
    <t>Startup</t>
  </si>
  <si>
    <t>Taxi out</t>
  </si>
  <si>
    <t>Taxi in</t>
  </si>
  <si>
    <t>Aircraft Manufacturing</t>
  </si>
  <si>
    <t>Aircraft Maintenance</t>
  </si>
  <si>
    <t>Engine Maintenance</t>
  </si>
  <si>
    <t>Airport construction</t>
  </si>
  <si>
    <t xml:space="preserve"> Runway/taxiway/tarmac construction</t>
  </si>
  <si>
    <t>Runway lighting</t>
  </si>
  <si>
    <t xml:space="preserve">Deicing fluid production </t>
  </si>
  <si>
    <t xml:space="preserve"> Ground support equipment operation</t>
  </si>
  <si>
    <t>Maintenance</t>
  </si>
  <si>
    <t>Airport Maintenance</t>
  </si>
  <si>
    <t>Airport Parking</t>
  </si>
  <si>
    <t>Jet fuel refining and distribution</t>
  </si>
  <si>
    <t>Operational Components</t>
  </si>
  <si>
    <t>Non operational Components</t>
  </si>
  <si>
    <t>Infrastructure</t>
  </si>
  <si>
    <t>Fuels</t>
  </si>
  <si>
    <t>WINGS x 2</t>
  </si>
  <si>
    <t>Aileron</t>
  </si>
  <si>
    <t>Flaps</t>
  </si>
  <si>
    <t>Slats</t>
  </si>
  <si>
    <t>Wing Box</t>
  </si>
  <si>
    <t>Spoiler</t>
  </si>
  <si>
    <t>Wing Tips</t>
  </si>
  <si>
    <t>AIRBUS A320</t>
  </si>
  <si>
    <t>Fuselage</t>
  </si>
  <si>
    <t>Doors</t>
  </si>
  <si>
    <t>Frames</t>
  </si>
  <si>
    <t>Skin</t>
  </si>
  <si>
    <t>Interior</t>
  </si>
  <si>
    <t>Bulkheads</t>
  </si>
  <si>
    <t>Stringers</t>
  </si>
  <si>
    <t>Box</t>
  </si>
  <si>
    <t>Rudder</t>
  </si>
  <si>
    <t xml:space="preserve">Tip </t>
  </si>
  <si>
    <t>Dorsal Fin</t>
  </si>
  <si>
    <t>Fairings</t>
  </si>
  <si>
    <t>Elevator</t>
  </si>
  <si>
    <t>Fearings</t>
  </si>
  <si>
    <t>Power Accessories</t>
  </si>
  <si>
    <t>Cowlings</t>
  </si>
  <si>
    <t>Pylons</t>
  </si>
  <si>
    <t>Thrust Reverser</t>
  </si>
  <si>
    <t>Inlet Cowl</t>
  </si>
  <si>
    <t>CFM56 Engine</t>
  </si>
  <si>
    <t>Main LDG x2</t>
  </si>
  <si>
    <t>LDG</t>
  </si>
  <si>
    <t>Downlock</t>
  </si>
  <si>
    <t>Actuator</t>
  </si>
  <si>
    <t>Wheels &amp; Tyres</t>
  </si>
  <si>
    <t>Nose LDG</t>
  </si>
  <si>
    <t>FUSELAGE</t>
  </si>
  <si>
    <t>VERTICAL STABILIZER</t>
  </si>
  <si>
    <t>HORIZONTAL STABILIZER</t>
  </si>
  <si>
    <t>POWERPLANT x2</t>
  </si>
  <si>
    <t>LANDING GEAR</t>
  </si>
  <si>
    <t>Engine Manufacturing</t>
  </si>
  <si>
    <t>MATERIAL COMPOSITION DATA</t>
  </si>
  <si>
    <t>Structural material</t>
  </si>
  <si>
    <t>Approximated mass content (kg)</t>
  </si>
  <si>
    <t>Percentage composition (%)</t>
  </si>
  <si>
    <t>Aluminum</t>
  </si>
  <si>
    <t>Composites</t>
  </si>
  <si>
    <t>Steel</t>
  </si>
  <si>
    <t>Titanium</t>
  </si>
  <si>
    <t>Miscellanous</t>
  </si>
  <si>
    <t>Total</t>
  </si>
  <si>
    <t>Operative Weight-OW (kg)</t>
  </si>
  <si>
    <t>Height Fuselage (m)</t>
  </si>
  <si>
    <t>Lenght (m)</t>
  </si>
  <si>
    <t>Wing Width (m)</t>
  </si>
  <si>
    <t>Wings Surface (m2)</t>
  </si>
  <si>
    <t>Service Load-SL (kg)</t>
  </si>
  <si>
    <t>Gasoline Tank Capacity-TC (lt)</t>
  </si>
  <si>
    <t>Autonomy-A (km)</t>
  </si>
  <si>
    <t>Diameter Fuselage (m)</t>
  </si>
  <si>
    <t>Initial Maintenance Operation Time-T (h/check C)</t>
  </si>
  <si>
    <t>Structure</t>
  </si>
  <si>
    <t>A320</t>
  </si>
  <si>
    <t>A330</t>
  </si>
  <si>
    <t>A380</t>
  </si>
  <si>
    <t>Wing</t>
  </si>
  <si>
    <t>Engine</t>
  </si>
  <si>
    <t>A330 (g CO2-Eq)</t>
  </si>
  <si>
    <t>A380 (g CO2-Eq)</t>
  </si>
  <si>
    <r>
      <t>A320 (g CO</t>
    </r>
    <r>
      <rPr>
        <b/>
        <sz val="9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-Eq)</t>
    </r>
  </si>
  <si>
    <t>Manufacturing</t>
  </si>
  <si>
    <t>Operations</t>
  </si>
  <si>
    <t>Fuel production</t>
  </si>
  <si>
    <t>Inf. Ops</t>
  </si>
  <si>
    <r>
      <t xml:space="preserve">Total Climate Change Impacts by Aircraft Type, per </t>
    </r>
    <r>
      <rPr>
        <b/>
        <sz val="11"/>
        <color rgb="FFFF0000"/>
        <rFont val="Aptos Narrow"/>
        <family val="2"/>
        <scheme val="minor"/>
      </rPr>
      <t>PKM</t>
    </r>
  </si>
  <si>
    <r>
      <t xml:space="preserve">Total Climate Change Impacts by Aircraft Type, per </t>
    </r>
    <r>
      <rPr>
        <b/>
        <sz val="11"/>
        <color rgb="FFFF0000"/>
        <rFont val="Aptos Narrow"/>
        <family val="2"/>
        <scheme val="minor"/>
      </rPr>
      <t>VKM</t>
    </r>
  </si>
  <si>
    <r>
      <t>Total Climate Change Impacts by Aircraft Type, per</t>
    </r>
    <r>
      <rPr>
        <b/>
        <sz val="11"/>
        <color rgb="FFFF0000"/>
        <rFont val="Aptos Narrow"/>
        <family val="2"/>
        <scheme val="minor"/>
      </rPr>
      <t xml:space="preserve"> LKM</t>
    </r>
  </si>
  <si>
    <r>
      <t>A320 (kg CO</t>
    </r>
    <r>
      <rPr>
        <b/>
        <sz val="9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-Eq)</t>
    </r>
  </si>
  <si>
    <t>A330 (kg CO2-Eq)</t>
  </si>
  <si>
    <t>A380 (kg CO2-Eq)</t>
  </si>
  <si>
    <r>
      <t>A320 (kt CO</t>
    </r>
    <r>
      <rPr>
        <b/>
        <sz val="9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-Eq)</t>
    </r>
  </si>
  <si>
    <t>A330 (kt CO2-Eq)</t>
  </si>
  <si>
    <t>A380 (kt CO2-Eq)</t>
  </si>
  <si>
    <t>Inf. Const</t>
  </si>
  <si>
    <t>Total Climate Change shares of top contributing structures</t>
  </si>
  <si>
    <t>n</t>
  </si>
  <si>
    <t>d</t>
  </si>
  <si>
    <t>lifetime</t>
  </si>
  <si>
    <t>years</t>
  </si>
  <si>
    <t>EUR</t>
  </si>
  <si>
    <t>DATA FOR USE OPERATION</t>
  </si>
  <si>
    <t>MLW</t>
  </si>
  <si>
    <t>Maximum Landing Weight</t>
  </si>
  <si>
    <t>number of flights per year</t>
  </si>
  <si>
    <t>distance of one flight</t>
  </si>
  <si>
    <t>LT</t>
  </si>
  <si>
    <t>weight of landing gear</t>
  </si>
  <si>
    <t>km</t>
  </si>
  <si>
    <t>lb</t>
  </si>
  <si>
    <t>f</t>
  </si>
  <si>
    <t>fraction of empty weight to MLW (in 1000lb)</t>
  </si>
  <si>
    <t>regression of fuel consumption per mile</t>
  </si>
  <si>
    <t>F</t>
  </si>
  <si>
    <t>gal/mile</t>
  </si>
  <si>
    <r>
      <t>F</t>
    </r>
    <r>
      <rPr>
        <sz val="8"/>
        <color theme="1"/>
        <rFont val="Aptos Narrow"/>
        <family val="2"/>
        <scheme val="minor"/>
      </rPr>
      <t>use_aircraft</t>
    </r>
  </si>
  <si>
    <t>l/km</t>
  </si>
  <si>
    <t>use phase fuel consumption for mid-size aircraft</t>
  </si>
  <si>
    <t>landing gear fuel consumption</t>
  </si>
  <si>
    <r>
      <t>F</t>
    </r>
    <r>
      <rPr>
        <sz val="8"/>
        <color theme="1"/>
        <rFont val="Aptos Narrow"/>
        <family val="2"/>
        <scheme val="minor"/>
      </rPr>
      <t>use_LG</t>
    </r>
  </si>
  <si>
    <t>kg</t>
  </si>
  <si>
    <t>l</t>
  </si>
  <si>
    <t>DATA FOR END-OF-LIFE</t>
  </si>
  <si>
    <t>landing gear use phase cost</t>
  </si>
  <si>
    <t>kerosene fuel price</t>
  </si>
  <si>
    <r>
      <t>p</t>
    </r>
    <r>
      <rPr>
        <sz val="8"/>
        <color theme="1"/>
        <rFont val="Aptos Narrow"/>
        <family val="2"/>
        <scheme val="minor"/>
      </rPr>
      <t>fuel</t>
    </r>
  </si>
  <si>
    <t>EUR/l</t>
  </si>
  <si>
    <t>MU/kg</t>
  </si>
  <si>
    <t>mixed plastic sanitary landfilling</t>
  </si>
  <si>
    <t>steel mold disposal for recycling (revenue)</t>
  </si>
  <si>
    <t>municipal incineration of prepreg</t>
  </si>
  <si>
    <r>
      <t>w</t>
    </r>
    <r>
      <rPr>
        <sz val="8"/>
        <color theme="1"/>
        <rFont val="Aptos Narrow"/>
        <family val="2"/>
        <scheme val="minor"/>
      </rPr>
      <t>incineration</t>
    </r>
  </si>
  <si>
    <r>
      <t>w</t>
    </r>
    <r>
      <rPr>
        <sz val="8"/>
        <color theme="1"/>
        <rFont val="Aptos Narrow"/>
        <family val="2"/>
        <scheme val="minor"/>
      </rPr>
      <t>landfill</t>
    </r>
  </si>
  <si>
    <r>
      <t>w</t>
    </r>
    <r>
      <rPr>
        <sz val="8"/>
        <color theme="1"/>
        <rFont val="Aptos Narrow"/>
        <family val="2"/>
        <scheme val="minor"/>
      </rPr>
      <t>recycling</t>
    </r>
  </si>
  <si>
    <t>landing gear end-of-life cost</t>
  </si>
  <si>
    <t>MU</t>
  </si>
  <si>
    <t>EUR/kg</t>
  </si>
  <si>
    <t>manufacturing</t>
  </si>
  <si>
    <t>in geneal an aircraft flights in one year for 2500000-3000000 km</t>
  </si>
  <si>
    <r>
      <rPr>
        <vertAlign val="superscript"/>
        <sz val="11"/>
        <rFont val="Aptos Narrow"/>
        <family val="2"/>
        <scheme val="minor"/>
      </rPr>
      <t>eq</t>
    </r>
    <r>
      <rPr>
        <sz val="11"/>
        <rFont val="Aptos Narrow"/>
        <family val="2"/>
        <scheme val="minor"/>
      </rPr>
      <t xml:space="preserve">CO2 </t>
    </r>
    <r>
      <rPr>
        <vertAlign val="superscript"/>
        <sz val="11"/>
        <rFont val="Aptos Narrow"/>
        <family val="2"/>
        <scheme val="minor"/>
      </rPr>
      <t>CiC</t>
    </r>
  </si>
  <si>
    <r>
      <rPr>
        <vertAlign val="superscript"/>
        <sz val="11"/>
        <rFont val="Aptos Narrow"/>
        <family val="2"/>
        <scheme val="minor"/>
      </rPr>
      <t>eq</t>
    </r>
    <r>
      <rPr>
        <sz val="11"/>
        <rFont val="Aptos Narrow"/>
        <family val="2"/>
        <scheme val="minor"/>
      </rPr>
      <t xml:space="preserve">CO2 </t>
    </r>
    <r>
      <rPr>
        <vertAlign val="superscript"/>
        <sz val="11"/>
        <rFont val="Aptos Narrow"/>
        <family val="2"/>
        <scheme val="minor"/>
      </rPr>
      <t>H</t>
    </r>
    <r>
      <rPr>
        <vertAlign val="superscript"/>
        <sz val="9"/>
        <rFont val="Aptos Narrow"/>
        <family val="2"/>
        <scheme val="minor"/>
      </rPr>
      <t>2</t>
    </r>
    <r>
      <rPr>
        <vertAlign val="superscript"/>
        <sz val="11"/>
        <rFont val="Aptos Narrow"/>
        <family val="2"/>
        <scheme val="minor"/>
      </rPr>
      <t>O</t>
    </r>
  </si>
  <si>
    <r>
      <rPr>
        <vertAlign val="superscript"/>
        <sz val="11"/>
        <rFont val="Aptos Narrow"/>
        <family val="2"/>
        <scheme val="minor"/>
      </rPr>
      <t>eq</t>
    </r>
    <r>
      <rPr>
        <sz val="11"/>
        <rFont val="Aptos Narrow"/>
        <family val="2"/>
        <scheme val="minor"/>
      </rPr>
      <t xml:space="preserve">CO2 </t>
    </r>
    <r>
      <rPr>
        <vertAlign val="superscript"/>
        <sz val="11"/>
        <rFont val="Aptos Narrow"/>
        <family val="2"/>
        <scheme val="minor"/>
      </rPr>
      <t>CO</t>
    </r>
    <r>
      <rPr>
        <vertAlign val="superscript"/>
        <sz val="9"/>
        <rFont val="Aptos Narrow"/>
        <family val="2"/>
        <scheme val="minor"/>
      </rPr>
      <t>2</t>
    </r>
  </si>
  <si>
    <t>Climate impact as a function of flight distance</t>
  </si>
  <si>
    <t>flown distance in 1000km                   D</t>
  </si>
  <si>
    <r>
      <rPr>
        <vertAlign val="superscript"/>
        <sz val="11"/>
        <rFont val="Aptos Narrow"/>
        <family val="2"/>
        <scheme val="minor"/>
      </rPr>
      <t>eq</t>
    </r>
    <r>
      <rPr>
        <sz val="11"/>
        <rFont val="Aptos Narrow"/>
        <family val="2"/>
        <scheme val="minor"/>
      </rPr>
      <t xml:space="preserve">CO2 </t>
    </r>
    <r>
      <rPr>
        <vertAlign val="superscript"/>
        <sz val="11"/>
        <rFont val="Aptos Narrow"/>
        <family val="2"/>
        <scheme val="minor"/>
      </rPr>
      <t>NOX</t>
    </r>
  </si>
  <si>
    <r>
      <rPr>
        <b/>
        <vertAlign val="superscript"/>
        <sz val="11"/>
        <rFont val="Aptos Narrow"/>
        <family val="2"/>
        <scheme val="minor"/>
      </rPr>
      <t>eq</t>
    </r>
    <r>
      <rPr>
        <b/>
        <sz val="11"/>
        <rFont val="Aptos Narrow"/>
        <family val="2"/>
        <scheme val="minor"/>
      </rPr>
      <t xml:space="preserve">CO2 </t>
    </r>
    <r>
      <rPr>
        <b/>
        <vertAlign val="superscript"/>
        <sz val="11"/>
        <rFont val="Aptos Narrow"/>
        <family val="2"/>
        <scheme val="minor"/>
      </rPr>
      <t>Tot</t>
    </r>
  </si>
  <si>
    <t>Ceol_LG</t>
  </si>
  <si>
    <t>Clifecycle_LG</t>
  </si>
  <si>
    <t>Cuse_LG</t>
  </si>
  <si>
    <t>number of passengers</t>
  </si>
  <si>
    <r>
      <t>total g</t>
    </r>
    <r>
      <rPr>
        <b/>
        <vertAlign val="subscript"/>
        <sz val="11"/>
        <color theme="1"/>
        <rFont val="Aptos Narrow"/>
        <family val="2"/>
        <scheme val="minor"/>
      </rPr>
      <t>CO2-Eq</t>
    </r>
  </si>
  <si>
    <t>number of kilometers of one flight</t>
  </si>
  <si>
    <t>Infrastructure  Operations</t>
  </si>
  <si>
    <t>flown distance in 1000km  D</t>
  </si>
  <si>
    <r>
      <t>total g</t>
    </r>
    <r>
      <rPr>
        <b/>
        <vertAlign val="subscript"/>
        <sz val="11"/>
        <color theme="1"/>
        <rFont val="Aptos Narrow"/>
        <family val="2"/>
        <scheme val="minor"/>
      </rPr>
      <t>CO2eq</t>
    </r>
  </si>
  <si>
    <t>Climate impact of the Landing Gear</t>
  </si>
  <si>
    <r>
      <t>w</t>
    </r>
    <r>
      <rPr>
        <vertAlign val="subscript"/>
        <sz val="11"/>
        <color theme="1"/>
        <rFont val="Aptos Narrow"/>
        <family val="2"/>
        <scheme val="minor"/>
      </rPr>
      <t>LG</t>
    </r>
  </si>
  <si>
    <t>MLW [lb]</t>
  </si>
  <si>
    <r>
      <t>w</t>
    </r>
    <r>
      <rPr>
        <vertAlign val="subscript"/>
        <sz val="11"/>
        <color theme="1"/>
        <rFont val="Aptos Narrow"/>
        <family val="2"/>
        <scheme val="minor"/>
      </rPr>
      <t>LG</t>
    </r>
    <r>
      <rPr>
        <sz val="11"/>
        <color theme="1"/>
        <rFont val="Aptos Narrow"/>
        <family val="2"/>
        <scheme val="minor"/>
      </rPr>
      <t xml:space="preserve"> [lb]</t>
    </r>
  </si>
  <si>
    <t>average of weight</t>
  </si>
  <si>
    <t>average of consumption</t>
  </si>
  <si>
    <t>MANUFACTURING+USE OPERATION</t>
  </si>
  <si>
    <t>END OF LIFE</t>
  </si>
  <si>
    <t>Recycling (%)</t>
  </si>
  <si>
    <t>Landfilling (%)</t>
  </si>
  <si>
    <t>Incineration (%)</t>
  </si>
  <si>
    <r>
      <t xml:space="preserve">Emissions for Recycling[kg </t>
    </r>
    <r>
      <rPr>
        <b/>
        <vertAlign val="subscript"/>
        <sz val="11"/>
        <color theme="1"/>
        <rFont val="Aptos Narrow"/>
        <family val="2"/>
        <scheme val="minor"/>
      </rPr>
      <t>CO2</t>
    </r>
    <r>
      <rPr>
        <b/>
        <sz val="11"/>
        <color theme="1"/>
        <rFont val="Aptos Narrow"/>
        <family val="2"/>
        <scheme val="minor"/>
      </rPr>
      <t>/ kg]</t>
    </r>
  </si>
  <si>
    <r>
      <t xml:space="preserve">Emissions for Landfilling [kg </t>
    </r>
    <r>
      <rPr>
        <b/>
        <vertAlign val="subscript"/>
        <sz val="11"/>
        <color theme="1"/>
        <rFont val="Aptos Narrow"/>
        <family val="2"/>
        <scheme val="minor"/>
      </rPr>
      <t>CO2</t>
    </r>
    <r>
      <rPr>
        <b/>
        <sz val="11"/>
        <color theme="1"/>
        <rFont val="Aptos Narrow"/>
        <family val="2"/>
        <scheme val="minor"/>
      </rPr>
      <t>/ kg]</t>
    </r>
  </si>
  <si>
    <r>
      <t xml:space="preserve">Emissions for Incineration[kg </t>
    </r>
    <r>
      <rPr>
        <b/>
        <vertAlign val="subscript"/>
        <sz val="11"/>
        <color theme="1"/>
        <rFont val="Aptos Narrow"/>
        <family val="2"/>
        <scheme val="minor"/>
      </rPr>
      <t>CO2</t>
    </r>
    <r>
      <rPr>
        <b/>
        <sz val="11"/>
        <color theme="1"/>
        <rFont val="Aptos Narrow"/>
        <family val="2"/>
        <scheme val="minor"/>
      </rPr>
      <t>/ kg]</t>
    </r>
  </si>
  <si>
    <t>AIRCRAFT MATERIAL COMPOSITION, SPECIFIC EMISSIONS AND % of EoL</t>
  </si>
  <si>
    <t xml:space="preserve"> SPECIFIC EMISSIONS FOR MATERIALS AND % OF EOL</t>
  </si>
  <si>
    <t>conversion in kg/lb</t>
  </si>
  <si>
    <r>
      <t>Total emission for EoL phase [g</t>
    </r>
    <r>
      <rPr>
        <b/>
        <vertAlign val="subscript"/>
        <sz val="11"/>
        <color theme="1"/>
        <rFont val="Aptos Narrow"/>
        <family val="2"/>
        <scheme val="minor"/>
      </rPr>
      <t>CO2eq</t>
    </r>
    <r>
      <rPr>
        <b/>
        <sz val="11"/>
        <color theme="1"/>
        <rFont val="Aptos Narrow"/>
        <family val="2"/>
        <scheme val="minor"/>
      </rPr>
      <t>]</t>
    </r>
  </si>
  <si>
    <r>
      <t>Total emission for Aircraft [g</t>
    </r>
    <r>
      <rPr>
        <b/>
        <vertAlign val="subscript"/>
        <sz val="11"/>
        <color theme="1"/>
        <rFont val="Aptos Narrow"/>
        <family val="2"/>
        <scheme val="minor"/>
      </rPr>
      <t>CO2eq</t>
    </r>
    <r>
      <rPr>
        <b/>
        <sz val="11"/>
        <color theme="1"/>
        <rFont val="Aptos Narrow"/>
        <family val="2"/>
        <scheme val="minor"/>
      </rPr>
      <t>]</t>
    </r>
  </si>
  <si>
    <t>CONTRIBUTION OF LANDING GEAR</t>
  </si>
  <si>
    <r>
      <t>w</t>
    </r>
    <r>
      <rPr>
        <b/>
        <vertAlign val="subscript"/>
        <sz val="11"/>
        <color theme="1"/>
        <rFont val="Aptos Narrow"/>
        <family val="2"/>
        <scheme val="minor"/>
      </rPr>
      <t>LG</t>
    </r>
    <r>
      <rPr>
        <b/>
        <sz val="11"/>
        <color theme="1"/>
        <rFont val="Aptos Narrow"/>
        <family val="2"/>
        <scheme val="minor"/>
      </rPr>
      <t xml:space="preserve"> [lb]</t>
    </r>
  </si>
  <si>
    <t>MLW [kg]</t>
  </si>
  <si>
    <t>CONTRIBUTION OF WING</t>
  </si>
  <si>
    <t>Climate impact of the Wing</t>
  </si>
  <si>
    <r>
      <t>w</t>
    </r>
    <r>
      <rPr>
        <b/>
        <vertAlign val="subscript"/>
        <sz val="11"/>
        <color theme="1"/>
        <rFont val="Aptos Narrow"/>
        <family val="2"/>
        <scheme val="minor"/>
      </rPr>
      <t xml:space="preserve">WING </t>
    </r>
    <r>
      <rPr>
        <b/>
        <sz val="11"/>
        <color theme="1"/>
        <rFont val="Aptos Narrow"/>
        <family val="2"/>
        <scheme val="minor"/>
      </rPr>
      <t>[lb]</t>
    </r>
  </si>
  <si>
    <r>
      <t>w</t>
    </r>
    <r>
      <rPr>
        <b/>
        <vertAlign val="subscript"/>
        <sz val="11"/>
        <color theme="1"/>
        <rFont val="Aptos Narrow"/>
        <family val="2"/>
        <scheme val="minor"/>
      </rPr>
      <t xml:space="preserve">ENGINE </t>
    </r>
    <r>
      <rPr>
        <b/>
        <sz val="11"/>
        <color theme="1"/>
        <rFont val="Aptos Narrow"/>
        <family val="2"/>
        <scheme val="minor"/>
      </rPr>
      <t>[lb]</t>
    </r>
  </si>
  <si>
    <r>
      <t>w</t>
    </r>
    <r>
      <rPr>
        <b/>
        <vertAlign val="subscript"/>
        <sz val="11"/>
        <color theme="1"/>
        <rFont val="Aptos Narrow"/>
        <family val="2"/>
        <scheme val="minor"/>
      </rPr>
      <t xml:space="preserve">FUSELAGE </t>
    </r>
    <r>
      <rPr>
        <b/>
        <sz val="11"/>
        <color theme="1"/>
        <rFont val="Aptos Narrow"/>
        <family val="2"/>
        <scheme val="minor"/>
      </rPr>
      <t>[lb]</t>
    </r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</si>
  <si>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WING </t>
    </r>
    <r>
      <rPr>
        <sz val="11"/>
        <color theme="1"/>
        <rFont val="Aptos Narrow"/>
        <family val="2"/>
        <scheme val="minor"/>
      </rPr>
      <t>[lb]</t>
    </r>
  </si>
  <si>
    <t>CONTRIBUTION OF ENGINE</t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</si>
  <si>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ENGINE </t>
    </r>
    <r>
      <rPr>
        <sz val="11"/>
        <color theme="1"/>
        <rFont val="Aptos Narrow"/>
        <family val="2"/>
        <scheme val="minor"/>
      </rPr>
      <t>[lb]</t>
    </r>
  </si>
  <si>
    <r>
      <t>F</t>
    </r>
    <r>
      <rPr>
        <sz val="8"/>
        <color theme="1"/>
        <rFont val="Aptos Narrow"/>
        <family val="2"/>
        <scheme val="minor"/>
      </rPr>
      <t>use_</t>
    </r>
    <r>
      <rPr>
        <vertAlign val="subscript"/>
        <sz val="11"/>
        <color theme="1"/>
        <rFont val="Aptos Narrow"/>
        <family val="2"/>
        <scheme val="minor"/>
      </rPr>
      <t>ENGINE</t>
    </r>
  </si>
  <si>
    <r>
      <t>F</t>
    </r>
    <r>
      <rPr>
        <sz val="8"/>
        <color theme="1"/>
        <rFont val="Aptos Narrow"/>
        <family val="2"/>
        <scheme val="minor"/>
      </rPr>
      <t>use_</t>
    </r>
    <r>
      <rPr>
        <vertAlign val="subscript"/>
        <sz val="11"/>
        <color theme="1"/>
        <rFont val="Aptos Narrow"/>
        <family val="2"/>
        <scheme val="minor"/>
      </rPr>
      <t>WING</t>
    </r>
  </si>
  <si>
    <t>Climate impact of the Engine</t>
  </si>
  <si>
    <r>
      <t>F</t>
    </r>
    <r>
      <rPr>
        <sz val="8"/>
        <color theme="1"/>
        <rFont val="Aptos Narrow"/>
        <family val="2"/>
        <scheme val="minor"/>
      </rPr>
      <t>use</t>
    </r>
    <r>
      <rPr>
        <vertAlign val="subscript"/>
        <sz val="11"/>
        <color theme="1"/>
        <rFont val="Aptos Narrow"/>
        <family val="2"/>
        <scheme val="minor"/>
      </rPr>
      <t>_ENGINE</t>
    </r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</si>
  <si>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FUSELAGE </t>
    </r>
    <r>
      <rPr>
        <sz val="11"/>
        <color theme="1"/>
        <rFont val="Aptos Narrow"/>
        <family val="2"/>
        <scheme val="minor"/>
      </rPr>
      <t>[lb]</t>
    </r>
  </si>
  <si>
    <t>CONTRIBUTION OF FUSELAGE</t>
  </si>
  <si>
    <t>Climate impact of the Fuselage</t>
  </si>
  <si>
    <r>
      <t>F</t>
    </r>
    <r>
      <rPr>
        <sz val="8"/>
        <color theme="1"/>
        <rFont val="Aptos Narrow"/>
        <family val="2"/>
        <scheme val="minor"/>
      </rPr>
      <t>use</t>
    </r>
    <r>
      <rPr>
        <vertAlign val="subscript"/>
        <sz val="11"/>
        <color theme="1"/>
        <rFont val="Aptos Narrow"/>
        <family val="2"/>
        <scheme val="minor"/>
      </rPr>
      <t>_FUSELAGE</t>
    </r>
  </si>
  <si>
    <t>hyp: 6%</t>
  </si>
  <si>
    <t>hyp: 11%</t>
  </si>
  <si>
    <t>hyp others elements: 13%</t>
  </si>
  <si>
    <r>
      <t>W</t>
    </r>
    <r>
      <rPr>
        <b/>
        <vertAlign val="subscript"/>
        <sz val="11"/>
        <color theme="1"/>
        <rFont val="Aptos Narrow"/>
        <family val="2"/>
        <scheme val="minor"/>
      </rPr>
      <t xml:space="preserve">HSTABILIZER </t>
    </r>
    <r>
      <rPr>
        <b/>
        <sz val="11"/>
        <color theme="1"/>
        <rFont val="Aptos Narrow"/>
        <family val="2"/>
        <scheme val="minor"/>
      </rPr>
      <t>[lb]</t>
    </r>
  </si>
  <si>
    <r>
      <t>W</t>
    </r>
    <r>
      <rPr>
        <b/>
        <vertAlign val="subscript"/>
        <sz val="11"/>
        <color theme="1"/>
        <rFont val="Aptos Narrow"/>
        <family val="2"/>
        <scheme val="minor"/>
      </rPr>
      <t xml:space="preserve">VSTABILIZER </t>
    </r>
    <r>
      <rPr>
        <b/>
        <sz val="11"/>
        <color theme="1"/>
        <rFont val="Aptos Narrow"/>
        <family val="2"/>
        <scheme val="minor"/>
      </rPr>
      <t>[lb]</t>
    </r>
  </si>
  <si>
    <t>CONTRIBUTION OF H.STABILIZER</t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</si>
  <si>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H.STABILIZER </t>
    </r>
    <r>
      <rPr>
        <sz val="11"/>
        <color theme="1"/>
        <rFont val="Aptos Narrow"/>
        <family val="2"/>
        <scheme val="minor"/>
      </rPr>
      <t>[lb]</t>
    </r>
  </si>
  <si>
    <r>
      <t>F</t>
    </r>
    <r>
      <rPr>
        <sz val="8"/>
        <color theme="1"/>
        <rFont val="Aptos Narrow"/>
        <family val="2"/>
        <scheme val="minor"/>
      </rPr>
      <t>use</t>
    </r>
    <r>
      <rPr>
        <vertAlign val="subscript"/>
        <sz val="11"/>
        <color theme="1"/>
        <rFont val="Aptos Narrow"/>
        <family val="2"/>
        <scheme val="minor"/>
      </rPr>
      <t>_H.STABILIZER</t>
    </r>
  </si>
  <si>
    <t>CONTRIBUTION OF V.STABILIZER</t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</si>
  <si>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V.STABILIZER </t>
    </r>
    <r>
      <rPr>
        <sz val="11"/>
        <color theme="1"/>
        <rFont val="Aptos Narrow"/>
        <family val="2"/>
        <scheme val="minor"/>
      </rPr>
      <t>[lb]</t>
    </r>
  </si>
  <si>
    <t>Climate impact of the Horizontal Stabilizer</t>
  </si>
  <si>
    <t>Climate impact of the Vertical Stabilizer</t>
  </si>
  <si>
    <r>
      <t>W</t>
    </r>
    <r>
      <rPr>
        <b/>
        <vertAlign val="subscript"/>
        <sz val="11"/>
        <color theme="1"/>
        <rFont val="Aptos Narrow"/>
        <family val="2"/>
        <scheme val="minor"/>
      </rPr>
      <t xml:space="preserve">OTHER </t>
    </r>
    <r>
      <rPr>
        <b/>
        <sz val="11"/>
        <color theme="1"/>
        <rFont val="Aptos Narrow"/>
        <family val="2"/>
        <scheme val="minor"/>
      </rPr>
      <t>[lb]</t>
    </r>
  </si>
  <si>
    <t>CONTRIBUTION OF OTHER</t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</si>
  <si>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V.OTHER </t>
    </r>
    <r>
      <rPr>
        <sz val="11"/>
        <color theme="1"/>
        <rFont val="Aptos Narrow"/>
        <family val="2"/>
        <scheme val="minor"/>
      </rPr>
      <t>[lb]</t>
    </r>
  </si>
  <si>
    <r>
      <t>F</t>
    </r>
    <r>
      <rPr>
        <sz val="8"/>
        <color theme="1"/>
        <rFont val="Aptos Narrow"/>
        <family val="2"/>
        <scheme val="minor"/>
      </rPr>
      <t>use</t>
    </r>
    <r>
      <rPr>
        <vertAlign val="subscript"/>
        <sz val="11"/>
        <color theme="1"/>
        <rFont val="Aptos Narrow"/>
        <family val="2"/>
        <scheme val="minor"/>
      </rPr>
      <t>_OTHER</t>
    </r>
  </si>
  <si>
    <t>Climate impact of the Other elements</t>
  </si>
  <si>
    <r>
      <t>F</t>
    </r>
    <r>
      <rPr>
        <sz val="8"/>
        <color theme="1"/>
        <rFont val="Aptos Narrow"/>
        <family val="2"/>
        <scheme val="minor"/>
      </rPr>
      <t>use</t>
    </r>
    <r>
      <rPr>
        <vertAlign val="subscript"/>
        <sz val="11"/>
        <color theme="1"/>
        <rFont val="Aptos Narrow"/>
        <family val="2"/>
        <scheme val="minor"/>
      </rPr>
      <t>_V.STABILIZER</t>
    </r>
  </si>
  <si>
    <t>weight of engine</t>
  </si>
  <si>
    <t>engine fuel consumption</t>
  </si>
  <si>
    <t>engine use phase cost</t>
  </si>
  <si>
    <t>DATA FOR USE OPERATION OF ENGINE</t>
  </si>
  <si>
    <t>steel, alluminum and titanium mold disposal for recycling (revenue)</t>
  </si>
  <si>
    <t>mixed composites landfilling</t>
  </si>
  <si>
    <t>municipal incineration of organic materials</t>
  </si>
  <si>
    <t>DATA FOR END-OF-LIFE OF ENGINE</t>
  </si>
  <si>
    <r>
      <t>Cuse</t>
    </r>
    <r>
      <rPr>
        <b/>
        <vertAlign val="subscript"/>
        <sz val="11"/>
        <color theme="1"/>
        <rFont val="Aptos Narrow"/>
        <family val="2"/>
        <scheme val="minor"/>
      </rPr>
      <t>_ENGINE</t>
    </r>
  </si>
  <si>
    <t>DATA FOR END-OF-LIFE OF WINGS</t>
  </si>
  <si>
    <t>DATA FOR USE OPERATION OF WINGS</t>
  </si>
  <si>
    <t>weight of wing</t>
  </si>
  <si>
    <t>wing fuel consumption</t>
  </si>
  <si>
    <r>
      <t>Cuse</t>
    </r>
    <r>
      <rPr>
        <b/>
        <vertAlign val="subscript"/>
        <sz val="11"/>
        <color theme="1"/>
        <rFont val="Aptos Narrow"/>
        <family val="2"/>
        <scheme val="minor"/>
      </rPr>
      <t>_WING</t>
    </r>
  </si>
  <si>
    <r>
      <t>CEoL_</t>
    </r>
    <r>
      <rPr>
        <b/>
        <vertAlign val="subscript"/>
        <sz val="11"/>
        <color theme="1"/>
        <rFont val="Aptos Narrow"/>
        <family val="2"/>
        <scheme val="minor"/>
      </rPr>
      <t>WING</t>
    </r>
  </si>
  <si>
    <r>
      <t>CEoL_</t>
    </r>
    <r>
      <rPr>
        <b/>
        <vertAlign val="subscript"/>
        <sz val="11"/>
        <color theme="1"/>
        <rFont val="Aptos Narrow"/>
        <family val="2"/>
        <scheme val="minor"/>
      </rPr>
      <t>ENGINE</t>
    </r>
  </si>
  <si>
    <t>alluminum and titanium mold disposal for recycling (revenue)</t>
  </si>
  <si>
    <t>mixed composites and CFRP landfilling</t>
  </si>
  <si>
    <t>municipal incineration of polymeric materials</t>
  </si>
  <si>
    <t>DATA FOR USE OPERATION OF FUSELAGE</t>
  </si>
  <si>
    <t>DATA FOR END-OF-LIFE OF FUSELAGE</t>
  </si>
  <si>
    <r>
      <t>CEoL_</t>
    </r>
    <r>
      <rPr>
        <b/>
        <vertAlign val="subscript"/>
        <sz val="11"/>
        <color theme="1"/>
        <rFont val="Aptos Narrow"/>
        <family val="2"/>
        <scheme val="minor"/>
      </rPr>
      <t>FUSELAGE</t>
    </r>
  </si>
  <si>
    <r>
      <t>Cuse</t>
    </r>
    <r>
      <rPr>
        <b/>
        <vertAlign val="subscript"/>
        <sz val="11"/>
        <color theme="1"/>
        <rFont val="Aptos Narrow"/>
        <family val="2"/>
        <scheme val="minor"/>
      </rPr>
      <t>_FUSELAGE</t>
    </r>
  </si>
  <si>
    <r>
      <t>F</t>
    </r>
    <r>
      <rPr>
        <sz val="8"/>
        <color theme="1"/>
        <rFont val="Aptos Narrow"/>
        <family val="2"/>
        <scheme val="minor"/>
      </rPr>
      <t>use_</t>
    </r>
    <r>
      <rPr>
        <vertAlign val="subscript"/>
        <sz val="11"/>
        <color theme="1"/>
        <rFont val="Aptos Narrow"/>
        <family val="2"/>
        <scheme val="minor"/>
      </rPr>
      <t>FUSELAGE</t>
    </r>
  </si>
  <si>
    <t>weight of fuselage</t>
  </si>
  <si>
    <t>fuselage fuel consumption</t>
  </si>
  <si>
    <t>fuselage end-of-life cost</t>
  </si>
  <si>
    <t>wings end-of-life cost</t>
  </si>
  <si>
    <t>wings use phase cost</t>
  </si>
  <si>
    <t>engine end-of-life cost</t>
  </si>
  <si>
    <t>fuselage use phase cost</t>
  </si>
  <si>
    <t>DATA FOR USE OPERATION OF HORIZONTAL STABILIZER</t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</si>
  <si>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H.STABILIZER </t>
    </r>
    <r>
      <rPr>
        <sz val="11"/>
        <color theme="1"/>
        <rFont val="Aptos Narrow"/>
        <family val="2"/>
        <scheme val="minor"/>
      </rPr>
      <t>[lb]</t>
    </r>
  </si>
  <si>
    <r>
      <t>Cuse</t>
    </r>
    <r>
      <rPr>
        <b/>
        <vertAlign val="subscript"/>
        <sz val="11"/>
        <color theme="1"/>
        <rFont val="Aptos Narrow"/>
        <family val="2"/>
        <scheme val="minor"/>
      </rPr>
      <t>_H.STABILIZER</t>
    </r>
  </si>
  <si>
    <r>
      <t>F</t>
    </r>
    <r>
      <rPr>
        <sz val="8"/>
        <color theme="1"/>
        <rFont val="Aptos Narrow"/>
        <family val="2"/>
        <scheme val="minor"/>
      </rPr>
      <t>use_</t>
    </r>
    <r>
      <rPr>
        <vertAlign val="subscript"/>
        <sz val="11"/>
        <color theme="1"/>
        <rFont val="Aptos Narrow"/>
        <family val="2"/>
        <scheme val="minor"/>
      </rPr>
      <t>H.STABILIZER</t>
    </r>
  </si>
  <si>
    <r>
      <t>CEoL_</t>
    </r>
    <r>
      <rPr>
        <b/>
        <vertAlign val="subscript"/>
        <sz val="11"/>
        <color theme="1"/>
        <rFont val="Aptos Narrow"/>
        <family val="2"/>
        <scheme val="minor"/>
      </rPr>
      <t>H.STABILIZER</t>
    </r>
  </si>
  <si>
    <t>DATA FOR END-OF-LIFE OF HORIZONTAL STABILIZER</t>
  </si>
  <si>
    <t>DATA FOR USE OPERATION OF VERTICAL STABILIZER</t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</si>
  <si>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V.STABILIZER </t>
    </r>
    <r>
      <rPr>
        <sz val="11"/>
        <color theme="1"/>
        <rFont val="Aptos Narrow"/>
        <family val="2"/>
        <scheme val="minor"/>
      </rPr>
      <t>[lb]</t>
    </r>
  </si>
  <si>
    <r>
      <t>F</t>
    </r>
    <r>
      <rPr>
        <sz val="8"/>
        <color theme="1"/>
        <rFont val="Aptos Narrow"/>
        <family val="2"/>
        <scheme val="minor"/>
      </rPr>
      <t>use_</t>
    </r>
    <r>
      <rPr>
        <vertAlign val="subscript"/>
        <sz val="8"/>
        <color theme="1"/>
        <rFont val="Aptos Narrow"/>
        <family val="2"/>
        <scheme val="minor"/>
      </rPr>
      <t>V</t>
    </r>
    <r>
      <rPr>
        <vertAlign val="subscript"/>
        <sz val="11"/>
        <color theme="1"/>
        <rFont val="Aptos Narrow"/>
        <family val="2"/>
        <scheme val="minor"/>
      </rPr>
      <t>.STABILIZER</t>
    </r>
  </si>
  <si>
    <r>
      <t>Cuse</t>
    </r>
    <r>
      <rPr>
        <b/>
        <vertAlign val="subscript"/>
        <sz val="11"/>
        <color theme="1"/>
        <rFont val="Aptos Narrow"/>
        <family val="2"/>
        <scheme val="minor"/>
      </rPr>
      <t>_V.STABILIZER</t>
    </r>
  </si>
  <si>
    <t>horizontal stabilizer fuel consumption</t>
  </si>
  <si>
    <t>horizontal stabilizer use phase cost</t>
  </si>
  <si>
    <t>horizontal stabilizer end-of-life cost</t>
  </si>
  <si>
    <t>vertical stabilizer fuel consumption</t>
  </si>
  <si>
    <t>vertical stabilizer use phase cost</t>
  </si>
  <si>
    <t>vertical stabilizer end-of-life cost</t>
  </si>
  <si>
    <t>DATA FOR USE OPERATION OF OTHER COMPONENTS</t>
  </si>
  <si>
    <r>
      <t>W</t>
    </r>
    <r>
      <rPr>
        <vertAlign val="subscript"/>
        <sz val="11"/>
        <color theme="1"/>
        <rFont val="Aptos Narrow"/>
        <family val="2"/>
        <scheme val="minor"/>
      </rPr>
      <t xml:space="preserve">OTHER </t>
    </r>
    <r>
      <rPr>
        <sz val="11"/>
        <color theme="1"/>
        <rFont val="Aptos Narrow"/>
        <family val="2"/>
        <scheme val="minor"/>
      </rPr>
      <t>[lb]</t>
    </r>
  </si>
  <si>
    <r>
      <t>F</t>
    </r>
    <r>
      <rPr>
        <sz val="8"/>
        <color theme="1"/>
        <rFont val="Aptos Narrow"/>
        <family val="2"/>
        <scheme val="minor"/>
      </rPr>
      <t>use_</t>
    </r>
    <r>
      <rPr>
        <vertAlign val="subscript"/>
        <sz val="11"/>
        <color theme="1"/>
        <rFont val="Aptos Narrow"/>
        <family val="2"/>
        <scheme val="minor"/>
      </rPr>
      <t>OTHER</t>
    </r>
  </si>
  <si>
    <r>
      <t>Cuse</t>
    </r>
    <r>
      <rPr>
        <b/>
        <vertAlign val="subscript"/>
        <sz val="11"/>
        <color theme="1"/>
        <rFont val="Aptos Narrow"/>
        <family val="2"/>
        <scheme val="minor"/>
      </rPr>
      <t>_OTHER</t>
    </r>
  </si>
  <si>
    <t>other end-of-life cost</t>
  </si>
  <si>
    <t>other use phase cost</t>
  </si>
  <si>
    <t>other fuel consumption</t>
  </si>
  <si>
    <t>weight of horizontal stabilizer</t>
  </si>
  <si>
    <t>Function</t>
  </si>
  <si>
    <t>Input</t>
  </si>
  <si>
    <t>Output</t>
  </si>
  <si>
    <t>calculate_emissions</t>
  </si>
  <si>
    <t>gCO2tot</t>
  </si>
  <si>
    <t xml:space="preserve"> num_passengers</t>
  </si>
  <si>
    <t>num_kilometers</t>
  </si>
  <si>
    <t>manufacturing_percentage</t>
  </si>
  <si>
    <t>operations_percentage</t>
  </si>
  <si>
    <t>fuel_production_percentage</t>
  </si>
  <si>
    <t>infrastructure_construction_percentage</t>
  </si>
  <si>
    <t>infrastructure_operation_percentage</t>
  </si>
  <si>
    <t>operations</t>
  </si>
  <si>
    <t>fuel_production</t>
  </si>
  <si>
    <t>infrastructure_operation</t>
  </si>
  <si>
    <t>infrastructure_construction</t>
  </si>
  <si>
    <t>total_emissions</t>
  </si>
  <si>
    <t>calculates_values_and_multiply</t>
  </si>
  <si>
    <t>CO2_multiplied</t>
  </si>
  <si>
    <t>NOx_multiplied</t>
  </si>
  <si>
    <t xml:space="preserve"> CiC_multiplied</t>
  </si>
  <si>
    <t xml:space="preserve"> H2O_multiplied</t>
  </si>
  <si>
    <t xml:space="preserve"> total_sum</t>
  </si>
  <si>
    <t>mlw</t>
  </si>
  <si>
    <t>wing_weight</t>
  </si>
  <si>
    <t xml:space="preserve"> fuselage_weight</t>
  </si>
  <si>
    <t>engine_weight</t>
  </si>
  <si>
    <t xml:space="preserve"> h_stabilizer_weight</t>
  </si>
  <si>
    <t xml:space="preserve"> v_stabilizer_weight</t>
  </si>
  <si>
    <t>other_weight</t>
  </si>
  <si>
    <t>landing_gear_weight</t>
  </si>
  <si>
    <t>calculate_components_weights</t>
  </si>
  <si>
    <t>aluminum_percentage</t>
  </si>
  <si>
    <t>composites_percentage</t>
  </si>
  <si>
    <t xml:space="preserve"> steel_percentage</t>
  </si>
  <si>
    <t xml:space="preserve"> titanium_percentage</t>
  </si>
  <si>
    <t>miscellaneous_percentage</t>
  </si>
  <si>
    <t>aluminum_weight</t>
  </si>
  <si>
    <t>composites_weight</t>
  </si>
  <si>
    <t>steel_weight</t>
  </si>
  <si>
    <t>titanium_weight</t>
  </si>
  <si>
    <t>miscellaneous_weight</t>
  </si>
  <si>
    <t>calculate_emissions_for_materials</t>
  </si>
  <si>
    <t>aluminum_recycling_emissions</t>
  </si>
  <si>
    <t>composites_incineration_emissions</t>
  </si>
  <si>
    <t>steel_recycling_emissions</t>
  </si>
  <si>
    <t>miscellaneous_landfill_emissions</t>
  </si>
  <si>
    <t>miscellaneous_incineration_emissions</t>
  </si>
  <si>
    <t>titanium_recycling_emissions</t>
  </si>
  <si>
    <t>total_emissions_EoL</t>
  </si>
  <si>
    <t>aluminum_total_emissions</t>
  </si>
  <si>
    <t>composites_total_emissions</t>
  </si>
  <si>
    <t>steel_total_emissions</t>
  </si>
  <si>
    <t>titanium_total_emissions</t>
  </si>
  <si>
    <t>miscellaneous_total_emissions</t>
  </si>
  <si>
    <t>convert_gal_mile_to_l_km</t>
  </si>
  <si>
    <t>gal_per_mile</t>
  </si>
  <si>
    <t>liters_per_km</t>
  </si>
  <si>
    <t>convert_lb_to_kg</t>
  </si>
  <si>
    <t>calculate_fuel_consumption</t>
  </si>
  <si>
    <t>mlw_lb</t>
  </si>
  <si>
    <t>distance_per_flight</t>
  </si>
  <si>
    <t xml:space="preserve"> num_flights_per_year</t>
  </si>
  <si>
    <t xml:space="preserve"> lifetime</t>
  </si>
  <si>
    <t>landing_gear_percentage</t>
  </si>
  <si>
    <t>wing_percentage</t>
  </si>
  <si>
    <t>fuselage_percentage</t>
  </si>
  <si>
    <t>v_stabilizer_percentage</t>
  </si>
  <si>
    <t>h_stabilizer_percentage</t>
  </si>
  <si>
    <t>engine_percentage</t>
  </si>
  <si>
    <t>accessories_percentage</t>
  </si>
  <si>
    <t>Fuseaircraft</t>
  </si>
  <si>
    <t>landing_gear_fuel_consumption</t>
  </si>
  <si>
    <t>wing_fuel_consumption</t>
  </si>
  <si>
    <t>fuselage_fuel_consumption</t>
  </si>
  <si>
    <t xml:space="preserve"> v_stabilizer_fuel_consumption</t>
  </si>
  <si>
    <t xml:space="preserve"> h_stabilizer_fuel_consumption</t>
  </si>
  <si>
    <t>engine_fuel_consumption</t>
  </si>
  <si>
    <t xml:space="preserve"> accessories_fuel_consumption</t>
  </si>
  <si>
    <t>calculate_eol_costs</t>
  </si>
  <si>
    <t xml:space="preserve"> v_stabilizer_percentage</t>
  </si>
  <si>
    <t>cost_incineration</t>
  </si>
  <si>
    <t>cost_recycling</t>
  </si>
  <si>
    <t>cost_landfill</t>
  </si>
  <si>
    <t>landing_gear_eol_cost</t>
  </si>
  <si>
    <t>wing_eol_cost</t>
  </si>
  <si>
    <t>fuselage_eol_cost</t>
  </si>
  <si>
    <t>v_stabilizer_eol_cost</t>
  </si>
  <si>
    <t>h_stabilizer_eol_cost</t>
  </si>
  <si>
    <t>engine_eol_cost</t>
  </si>
  <si>
    <t>accessories_eol_cost</t>
  </si>
  <si>
    <t>main</t>
  </si>
  <si>
    <t xml:space="preserve"> distance_per_flight</t>
  </si>
  <si>
    <t>fuel_price_per_liter</t>
  </si>
  <si>
    <t>print results</t>
  </si>
  <si>
    <t>LCC Analysis</t>
  </si>
  <si>
    <r>
      <rPr>
        <vertAlign val="superscript"/>
        <sz val="11"/>
        <rFont val="Aptos Narrow"/>
        <family val="2"/>
        <scheme val="minor"/>
      </rPr>
      <t>eq</t>
    </r>
    <r>
      <rPr>
        <sz val="11"/>
        <rFont val="Aptos Narrow"/>
        <family val="2"/>
        <scheme val="minor"/>
      </rPr>
      <t xml:space="preserve">CO2 </t>
    </r>
    <r>
      <rPr>
        <vertAlign val="superscript"/>
        <sz val="11"/>
        <rFont val="Aptos Narrow"/>
        <family val="2"/>
        <scheme val="minor"/>
      </rPr>
      <t>H2O</t>
    </r>
  </si>
  <si>
    <t>wrecycling</t>
  </si>
  <si>
    <t>wlandfill</t>
  </si>
  <si>
    <t>wincineration</t>
  </si>
  <si>
    <t xml:space="preserve">Units </t>
  </si>
  <si>
    <t>(number of people)</t>
  </si>
  <si>
    <t>(%)</t>
  </si>
  <si>
    <t>grams of CO2</t>
  </si>
  <si>
    <t>total _emission</t>
  </si>
  <si>
    <t>kgCO2/kg</t>
  </si>
  <si>
    <t>kgCO2</t>
  </si>
  <si>
    <t>recycling_percentage</t>
  </si>
  <si>
    <t xml:space="preserve">    incineration_percentage</t>
  </si>
  <si>
    <t xml:space="preserve"> landfill_percentage</t>
  </si>
  <si>
    <t xml:space="preserve">PRINT RESULTS </t>
  </si>
  <si>
    <t>Units</t>
  </si>
  <si>
    <t>NEW LCA</t>
  </si>
  <si>
    <t>(number of flights)</t>
  </si>
  <si>
    <t>liters</t>
  </si>
  <si>
    <t>Landing Gear Analysis 1st mode</t>
  </si>
  <si>
    <t>calculate_fuel_consumption_landing_gear</t>
  </si>
  <si>
    <t xml:space="preserve"> landing_gear_percentage</t>
  </si>
  <si>
    <t>calculate_eol_costs_landing_gear</t>
  </si>
  <si>
    <t>total_eol_cost</t>
  </si>
  <si>
    <t xml:space="preserve"> calculate_emissions_landing_gear</t>
  </si>
  <si>
    <t>calculate_manufacturing_cost</t>
  </si>
  <si>
    <t xml:space="preserve"> base_material_cost_per_lb</t>
  </si>
  <si>
    <t>base_labor_cost_per_hour</t>
  </si>
  <si>
    <t>machine_cost_per_hour</t>
  </si>
  <si>
    <t>development_cost</t>
  </si>
  <si>
    <t xml:space="preserve"> overhead_factor</t>
  </si>
  <si>
    <t>weight_factor</t>
  </si>
  <si>
    <t xml:space="preserve"> labor_hours_per_unit_weight</t>
  </si>
  <si>
    <t>machine_hours_per_unit_weight</t>
  </si>
  <si>
    <t xml:space="preserve"> landing_gear_weight_lb</t>
  </si>
  <si>
    <t xml:space="preserve"> material_cost</t>
  </si>
  <si>
    <t>labor_cost</t>
  </si>
  <si>
    <t>machine_cost</t>
  </si>
  <si>
    <t>total_production_cost</t>
  </si>
  <si>
    <t>num_flights_per_year</t>
  </si>
  <si>
    <t>total_manufacturing_cost</t>
  </si>
  <si>
    <t xml:space="preserve"> calculate_total_emissions</t>
  </si>
  <si>
    <t>CO2</t>
  </si>
  <si>
    <t>CiC</t>
  </si>
  <si>
    <t>NOx</t>
  </si>
  <si>
    <t>analyze_landing_gear_materials</t>
  </si>
  <si>
    <t>total_materials</t>
  </si>
  <si>
    <t>components</t>
  </si>
  <si>
    <t>component_weights</t>
  </si>
  <si>
    <t>emissions_factors</t>
  </si>
  <si>
    <t>materials_emissions</t>
  </si>
  <si>
    <t xml:space="preserve">  gCO2tot</t>
  </si>
  <si>
    <t>num_passengers</t>
  </si>
  <si>
    <t xml:space="preserve"> fuel_price_per_liter</t>
  </si>
  <si>
    <t>PRINT RESULTS</t>
  </si>
  <si>
    <t>EUR per lb</t>
  </si>
  <si>
    <t>EUR per hour</t>
  </si>
  <si>
    <t>(/)</t>
  </si>
  <si>
    <t>Hours per unit weight (lb)</t>
  </si>
  <si>
    <t>(number of passengers)</t>
  </si>
  <si>
    <t>number of flights</t>
  </si>
  <si>
    <t>EUR per liters</t>
  </si>
  <si>
    <t>EUR per liter</t>
  </si>
  <si>
    <t>calculate_weights</t>
  </si>
  <si>
    <t>H2O</t>
  </si>
  <si>
    <t>Component</t>
  </si>
  <si>
    <t>Material</t>
  </si>
  <si>
    <t>Proportion</t>
  </si>
  <si>
    <t>Main Struts</t>
  </si>
  <si>
    <t>Aluminium</t>
  </si>
  <si>
    <t>High Strength Steel</t>
  </si>
  <si>
    <t>Brake Systems</t>
  </si>
  <si>
    <t>Carbon Composites</t>
  </si>
  <si>
    <t>Stainless Steel</t>
  </si>
  <si>
    <t>Wheels</t>
  </si>
  <si>
    <t xml:space="preserve">Aluminium </t>
  </si>
  <si>
    <t xml:space="preserve">Carbon Composites </t>
  </si>
  <si>
    <t xml:space="preserve">High Strength Steel </t>
  </si>
  <si>
    <t xml:space="preserve">Titanium </t>
  </si>
  <si>
    <t xml:space="preserve">Stainless Steel </t>
  </si>
  <si>
    <t>Emissions Factor [kgCO2/kg]</t>
  </si>
  <si>
    <t>Mass [kg]</t>
  </si>
  <si>
    <r>
      <t>emission</t>
    </r>
    <r>
      <rPr>
        <vertAlign val="subscript"/>
        <sz val="11"/>
        <color theme="1"/>
        <rFont val="Aptos Narrow"/>
        <family val="2"/>
        <scheme val="minor"/>
      </rPr>
      <t xml:space="preserve">TITANIUM </t>
    </r>
    <r>
      <rPr>
        <sz val="11"/>
        <color theme="1"/>
        <rFont val="Aptos Narrow"/>
        <family val="2"/>
        <scheme val="minor"/>
      </rPr>
      <t>[kgCO2]</t>
    </r>
  </si>
  <si>
    <r>
      <t>weight</t>
    </r>
    <r>
      <rPr>
        <vertAlign val="subscript"/>
        <sz val="11"/>
        <color theme="1"/>
        <rFont val="Aptos Narrow"/>
        <family val="2"/>
        <scheme val="minor"/>
      </rPr>
      <t xml:space="preserve">TITANIUM </t>
    </r>
    <r>
      <rPr>
        <sz val="11"/>
        <color theme="1"/>
        <rFont val="Aptos Narrow"/>
        <family val="2"/>
        <scheme val="minor"/>
      </rPr>
      <t>[kg]</t>
    </r>
  </si>
  <si>
    <r>
      <t>weight</t>
    </r>
    <r>
      <rPr>
        <vertAlign val="subscript"/>
        <sz val="11"/>
        <color theme="1"/>
        <rFont val="Aptos Narrow"/>
        <family val="2"/>
        <scheme val="minor"/>
      </rPr>
      <t xml:space="preserve">ALUMINIUM </t>
    </r>
    <r>
      <rPr>
        <sz val="11"/>
        <color theme="1"/>
        <rFont val="Aptos Narrow"/>
        <family val="2"/>
        <scheme val="minor"/>
      </rPr>
      <t>[kg]</t>
    </r>
  </si>
  <si>
    <r>
      <t>weight</t>
    </r>
    <r>
      <rPr>
        <vertAlign val="subscript"/>
        <sz val="11"/>
        <color theme="1"/>
        <rFont val="Aptos Narrow"/>
        <family val="2"/>
        <scheme val="minor"/>
      </rPr>
      <t xml:space="preserve">HIGH STRENGHT STEEL </t>
    </r>
    <r>
      <rPr>
        <sz val="11"/>
        <color theme="1"/>
        <rFont val="Aptos Narrow"/>
        <family val="2"/>
        <scheme val="minor"/>
      </rPr>
      <t>[kg]</t>
    </r>
  </si>
  <si>
    <r>
      <t>weight</t>
    </r>
    <r>
      <rPr>
        <vertAlign val="subscript"/>
        <sz val="11"/>
        <color theme="1"/>
        <rFont val="Aptos Narrow"/>
        <family val="2"/>
        <scheme val="minor"/>
      </rPr>
      <t xml:space="preserve">CARBON COMPOSITES </t>
    </r>
    <r>
      <rPr>
        <sz val="11"/>
        <color theme="1"/>
        <rFont val="Aptos Narrow"/>
        <family val="2"/>
        <scheme val="minor"/>
      </rPr>
      <t>[kg]</t>
    </r>
  </si>
  <si>
    <r>
      <t>weight</t>
    </r>
    <r>
      <rPr>
        <vertAlign val="subscript"/>
        <sz val="11"/>
        <color theme="1"/>
        <rFont val="Aptos Narrow"/>
        <family val="2"/>
        <scheme val="minor"/>
      </rPr>
      <t xml:space="preserve">STAINLESS STEEL </t>
    </r>
    <r>
      <rPr>
        <sz val="11"/>
        <color theme="1"/>
        <rFont val="Aptos Narrow"/>
        <family val="2"/>
        <scheme val="minor"/>
      </rPr>
      <t>[kg]</t>
    </r>
  </si>
  <si>
    <r>
      <t>emission</t>
    </r>
    <r>
      <rPr>
        <vertAlign val="subscript"/>
        <sz val="11"/>
        <color theme="1"/>
        <rFont val="Aptos Narrow"/>
        <family val="2"/>
        <scheme val="minor"/>
      </rPr>
      <t xml:space="preserve">ALUMINIUM </t>
    </r>
    <r>
      <rPr>
        <sz val="11"/>
        <color theme="1"/>
        <rFont val="Aptos Narrow"/>
        <family val="2"/>
        <scheme val="minor"/>
      </rPr>
      <t>[kgCO2]</t>
    </r>
  </si>
  <si>
    <r>
      <t>emission</t>
    </r>
    <r>
      <rPr>
        <vertAlign val="subscript"/>
        <sz val="11"/>
        <color theme="1"/>
        <rFont val="Aptos Narrow"/>
        <family val="2"/>
        <scheme val="minor"/>
      </rPr>
      <t xml:space="preserve">HIGH STRENGHT STEEL </t>
    </r>
    <r>
      <rPr>
        <sz val="11"/>
        <color theme="1"/>
        <rFont val="Aptos Narrow"/>
        <family val="2"/>
        <scheme val="minor"/>
      </rPr>
      <t>[kgCO2]</t>
    </r>
  </si>
  <si>
    <r>
      <t>emission</t>
    </r>
    <r>
      <rPr>
        <vertAlign val="subscript"/>
        <sz val="11"/>
        <color theme="1"/>
        <rFont val="Aptos Narrow"/>
        <family val="2"/>
        <scheme val="minor"/>
      </rPr>
      <t xml:space="preserve">CARBON COMPOSITES </t>
    </r>
    <r>
      <rPr>
        <sz val="11"/>
        <color theme="1"/>
        <rFont val="Aptos Narrow"/>
        <family val="2"/>
        <scheme val="minor"/>
      </rPr>
      <t>[kgCO2]</t>
    </r>
  </si>
  <si>
    <r>
      <t>emission</t>
    </r>
    <r>
      <rPr>
        <vertAlign val="subscript"/>
        <sz val="11"/>
        <color theme="1"/>
        <rFont val="Aptos Narrow"/>
        <family val="2"/>
        <scheme val="minor"/>
      </rPr>
      <t xml:space="preserve">STAINLESS STEEL </t>
    </r>
    <r>
      <rPr>
        <sz val="11"/>
        <color theme="1"/>
        <rFont val="Aptos Narrow"/>
        <family val="2"/>
        <scheme val="minor"/>
      </rPr>
      <t>[kgCO2]</t>
    </r>
  </si>
  <si>
    <t>DATA FOR MANUFACTURING PHASE</t>
  </si>
  <si>
    <t xml:space="preserve">Base material cost per pound </t>
  </si>
  <si>
    <t xml:space="preserve">Base labor cost per hour </t>
  </si>
  <si>
    <t xml:space="preserve">Machine cost per hour </t>
  </si>
  <si>
    <t xml:space="preserve">Development cost </t>
  </si>
  <si>
    <t xml:space="preserve">Overhead factor </t>
  </si>
  <si>
    <t xml:space="preserve">Weight factor </t>
  </si>
  <si>
    <t xml:space="preserve">Labor hours per unit weight </t>
  </si>
  <si>
    <t xml:space="preserve">Machine hours per unit weight </t>
  </si>
  <si>
    <t>Parameter</t>
  </si>
  <si>
    <t>Value</t>
  </si>
  <si>
    <t xml:space="preserve"> Euros per lb </t>
  </si>
  <si>
    <t xml:space="preserve">Euros per hour </t>
  </si>
  <si>
    <t xml:space="preserve">Euros </t>
  </si>
  <si>
    <t xml:space="preserve">(20\% overhead) </t>
  </si>
  <si>
    <t>percentage of MLW for LG</t>
  </si>
  <si>
    <t xml:space="preserve">hours per lb </t>
  </si>
  <si>
    <r>
      <t xml:space="preserve">landing gear weight </t>
    </r>
    <r>
      <rPr>
        <sz val="8"/>
        <color theme="1"/>
        <rFont val="Aptos Narrow"/>
        <family val="2"/>
        <scheme val="minor"/>
      </rPr>
      <t>lb</t>
    </r>
  </si>
  <si>
    <r>
      <t>mlw</t>
    </r>
    <r>
      <rPr>
        <sz val="8"/>
        <color theme="1"/>
        <rFont val="Aptos Narrow"/>
        <family val="2"/>
        <scheme val="minor"/>
      </rPr>
      <t>lb</t>
    </r>
  </si>
  <si>
    <t>material_cost</t>
  </si>
  <si>
    <t>distance_factor</t>
  </si>
  <si>
    <t>distance_per_flight_km</t>
  </si>
  <si>
    <t>frequency_factor</t>
  </si>
  <si>
    <t>Life Cycle Cost of the Landing Gear</t>
  </si>
  <si>
    <t>DATA</t>
  </si>
  <si>
    <t>Life Cycle Assessment of Landing Gear [gCO2]</t>
  </si>
  <si>
    <t>TOTAL EoL Phase [gCO2]</t>
  </si>
  <si>
    <t>without EoL phase</t>
  </si>
  <si>
    <t xml:space="preserve">EoL ANALYSIS FOR LANDING GEAR </t>
  </si>
  <si>
    <t>[kg]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</si>
</sst>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00"/>
    <numFmt numFmtId="165" formatCode="0.0"/>
    <numFmt numFmtId="166" formatCode="0.0000"/>
    <numFmt numFmtId="167" formatCode="_-* #,##0.00\ _€_-;\-* #,##0.00\ _€_-;_-* &quot;-&quot;??\ _€_-;_-@_-"/>
    <numFmt numFmtId="168" formatCode="_-* #,##0_-;\-* #,##0_-;_-* &quot;-&quot;??_-;_-@_-"/>
    <numFmt numFmtId="169" formatCode="_-* #,##0\ _€_-;\-* #,##0\ _€_-;_-* &quot;-&quot;??\ _€_-;_-@_-"/>
  </numFmts>
  <fonts count="2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70C0"/>
      <name val="Aptos Narrow"/>
      <family val="2"/>
      <scheme val="minor"/>
    </font>
    <font>
      <sz val="11"/>
      <color rgb="FF7030A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vertAlign val="superscript"/>
      <sz val="11"/>
      <name val="Aptos Narrow"/>
      <family val="2"/>
      <scheme val="minor"/>
    </font>
    <font>
      <sz val="8"/>
      <name val="Aptos Narrow"/>
      <family val="2"/>
      <scheme val="minor"/>
    </font>
    <font>
      <vertAlign val="superscript"/>
      <sz val="9"/>
      <name val="Aptos Narrow"/>
      <family val="2"/>
      <scheme val="minor"/>
    </font>
    <font>
      <b/>
      <sz val="11"/>
      <name val="Aptos Narrow"/>
      <family val="2"/>
      <scheme val="minor"/>
    </font>
    <font>
      <b/>
      <vertAlign val="superscript"/>
      <sz val="11"/>
      <name val="Aptos Narrow"/>
      <family val="2"/>
      <scheme val="minor"/>
    </font>
    <font>
      <b/>
      <vertAlign val="subscript"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vertAlign val="subscript"/>
      <sz val="8"/>
      <color theme="1"/>
      <name val="Aptos Narrow"/>
      <family val="2"/>
      <scheme val="minor"/>
    </font>
    <font>
      <b/>
      <sz val="11"/>
      <color rgb="FF0070C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6" fillId="0" borderId="0" xfId="0" applyFont="1"/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9" fontId="0" fillId="0" borderId="1" xfId="0" applyNumberFormat="1" applyBorder="1"/>
    <xf numFmtId="0" fontId="2" fillId="2" borderId="0" xfId="0" applyFont="1" applyFill="1"/>
    <xf numFmtId="0" fontId="9" fillId="2" borderId="0" xfId="0" applyFont="1" applyFill="1"/>
    <xf numFmtId="0" fontId="0" fillId="0" borderId="1" xfId="0" applyBorder="1" applyAlignment="1">
      <alignment horizontal="left"/>
    </xf>
    <xf numFmtId="0" fontId="2" fillId="5" borderId="0" xfId="0" applyFont="1" applyFill="1"/>
    <xf numFmtId="11" fontId="2" fillId="5" borderId="0" xfId="0" applyNumberFormat="1" applyFont="1" applyFill="1"/>
    <xf numFmtId="0" fontId="2" fillId="7" borderId="0" xfId="0" applyFont="1" applyFill="1"/>
    <xf numFmtId="11" fontId="2" fillId="7" borderId="0" xfId="0" applyNumberFormat="1" applyFont="1" applyFill="1"/>
    <xf numFmtId="11" fontId="0" fillId="0" borderId="1" xfId="0" applyNumberFormat="1" applyBorder="1"/>
    <xf numFmtId="43" fontId="2" fillId="2" borderId="0" xfId="1" applyFont="1" applyFill="1"/>
    <xf numFmtId="43" fontId="0" fillId="0" borderId="0" xfId="1" applyFont="1"/>
    <xf numFmtId="43" fontId="0" fillId="0" borderId="1" xfId="1" applyFont="1" applyBorder="1"/>
    <xf numFmtId="167" fontId="0" fillId="0" borderId="0" xfId="0" applyNumberFormat="1"/>
    <xf numFmtId="167" fontId="0" fillId="0" borderId="0" xfId="0" applyNumberFormat="1" applyAlignment="1">
      <alignment horizontal="center"/>
    </xf>
    <xf numFmtId="43" fontId="0" fillId="0" borderId="0" xfId="1" applyFont="1" applyAlignment="1">
      <alignment horizontal="center"/>
    </xf>
    <xf numFmtId="168" fontId="0" fillId="0" borderId="0" xfId="1" applyNumberFormat="1" applyFont="1"/>
    <xf numFmtId="0" fontId="9" fillId="5" borderId="0" xfId="0" applyFont="1" applyFill="1"/>
    <xf numFmtId="0" fontId="9" fillId="7" borderId="0" xfId="0" applyFont="1" applyFill="1"/>
    <xf numFmtId="0" fontId="1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8" fontId="11" fillId="0" borderId="1" xfId="0" applyNumberFormat="1" applyFont="1" applyBorder="1" applyAlignment="1">
      <alignment horizontal="center"/>
    </xf>
    <xf numFmtId="168" fontId="0" fillId="0" borderId="1" xfId="1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168" fontId="2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43" fontId="2" fillId="3" borderId="1" xfId="1" applyFont="1" applyFill="1" applyBorder="1" applyAlignment="1">
      <alignment horizontal="center"/>
    </xf>
    <xf numFmtId="0" fontId="15" fillId="3" borderId="6" xfId="0" applyFont="1" applyFill="1" applyBorder="1" applyAlignment="1">
      <alignment horizontal="center"/>
    </xf>
    <xf numFmtId="43" fontId="0" fillId="0" borderId="1" xfId="1" applyFont="1" applyBorder="1" applyAlignment="1">
      <alignment vertical="center"/>
    </xf>
    <xf numFmtId="43" fontId="2" fillId="3" borderId="1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168" fontId="2" fillId="4" borderId="1" xfId="1" applyNumberFormat="1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2" fillId="0" borderId="1" xfId="0" applyNumberFormat="1" applyFont="1" applyBorder="1" applyAlignment="1">
      <alignment horizontal="right"/>
    </xf>
    <xf numFmtId="168" fontId="0" fillId="0" borderId="1" xfId="0" applyNumberFormat="1" applyBorder="1" applyAlignment="1">
      <alignment horizontal="center"/>
    </xf>
    <xf numFmtId="168" fontId="2" fillId="0" borderId="1" xfId="1" applyNumberFormat="1" applyFont="1" applyBorder="1" applyAlignment="1">
      <alignment horizontal="right"/>
    </xf>
    <xf numFmtId="10" fontId="0" fillId="0" borderId="0" xfId="0" applyNumberFormat="1"/>
    <xf numFmtId="0" fontId="2" fillId="3" borderId="0" xfId="0" applyFont="1" applyFill="1" applyAlignment="1">
      <alignment horizontal="center"/>
    </xf>
    <xf numFmtId="168" fontId="2" fillId="3" borderId="0" xfId="0" applyNumberFormat="1" applyFont="1" applyFill="1" applyAlignment="1">
      <alignment horizontal="left"/>
    </xf>
    <xf numFmtId="0" fontId="2" fillId="7" borderId="0" xfId="0" applyFont="1" applyFill="1" applyAlignment="1">
      <alignment horizontal="center"/>
    </xf>
    <xf numFmtId="169" fontId="2" fillId="7" borderId="0" xfId="0" applyNumberFormat="1" applyFont="1" applyFill="1"/>
    <xf numFmtId="0" fontId="2" fillId="4" borderId="0" xfId="0" applyFont="1" applyFill="1" applyAlignment="1">
      <alignment horizontal="center"/>
    </xf>
    <xf numFmtId="0" fontId="2" fillId="5" borderId="7" xfId="0" applyFont="1" applyFill="1" applyBorder="1"/>
    <xf numFmtId="168" fontId="0" fillId="0" borderId="1" xfId="1" applyNumberFormat="1" applyFont="1" applyBorder="1" applyAlignment="1">
      <alignment vertical="center"/>
    </xf>
    <xf numFmtId="168" fontId="0" fillId="0" borderId="1" xfId="0" applyNumberFormat="1" applyBorder="1"/>
    <xf numFmtId="0" fontId="0" fillId="8" borderId="0" xfId="0" applyFill="1" applyAlignment="1">
      <alignment horizontal="center"/>
    </xf>
    <xf numFmtId="0" fontId="2" fillId="5" borderId="1" xfId="0" applyFont="1" applyFill="1" applyBorder="1" applyAlignment="1">
      <alignment horizontal="right"/>
    </xf>
    <xf numFmtId="168" fontId="2" fillId="5" borderId="1" xfId="0" applyNumberFormat="1" applyFont="1" applyFill="1" applyBorder="1"/>
    <xf numFmtId="168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8" fontId="6" fillId="0" borderId="1" xfId="1" applyNumberFormat="1" applyFont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8" fontId="2" fillId="4" borderId="1" xfId="0" applyNumberFormat="1" applyFont="1" applyFill="1" applyBorder="1" applyAlignment="1">
      <alignment horizontal="right" vertical="center"/>
    </xf>
    <xf numFmtId="167" fontId="0" fillId="0" borderId="1" xfId="0" applyNumberFormat="1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5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/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166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168" fontId="0" fillId="0" borderId="1" xfId="0" applyNumberFormat="1" applyBorder="1" applyAlignment="1">
      <alignment vertical="center"/>
    </xf>
    <xf numFmtId="168" fontId="2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1" applyNumberFormat="1" applyFont="1" applyBorder="1" applyAlignment="1">
      <alignment horizontal="center" vertical="center"/>
    </xf>
    <xf numFmtId="2" fontId="0" fillId="0" borderId="0" xfId="1" applyNumberFormat="1" applyFont="1" applyAlignment="1">
      <alignment horizontal="center"/>
    </xf>
    <xf numFmtId="1" fontId="0" fillId="0" borderId="1" xfId="1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3" fontId="2" fillId="2" borderId="0" xfId="1" applyFont="1" applyFill="1" applyAlignment="1">
      <alignment horizontal="center"/>
    </xf>
    <xf numFmtId="0" fontId="2" fillId="3" borderId="0" xfId="0" applyFont="1" applyFill="1"/>
    <xf numFmtId="0" fontId="9" fillId="3" borderId="0" xfId="0" applyFont="1" applyFill="1"/>
    <xf numFmtId="43" fontId="2" fillId="3" borderId="0" xfId="1" applyFont="1" applyFill="1"/>
    <xf numFmtId="43" fontId="2" fillId="2" borderId="0" xfId="0" applyNumberFormat="1" applyFont="1" applyFill="1" applyAlignment="1">
      <alignment horizontal="center"/>
    </xf>
    <xf numFmtId="0" fontId="15" fillId="7" borderId="0" xfId="0" applyFont="1" applyFill="1" applyAlignment="1">
      <alignment horizontal="center"/>
    </xf>
    <xf numFmtId="167" fontId="15" fillId="7" borderId="0" xfId="0" applyNumberFormat="1" applyFont="1" applyFill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0" fillId="2" borderId="1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9" fontId="0" fillId="9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168" fontId="0" fillId="0" borderId="0" xfId="0" applyNumberFormat="1" applyAlignment="1">
      <alignment horizontal="left"/>
    </xf>
    <xf numFmtId="0" fontId="20" fillId="0" borderId="1" xfId="0" applyFont="1" applyBorder="1" applyAlignment="1">
      <alignment horizontal="center"/>
    </xf>
    <xf numFmtId="9" fontId="0" fillId="2" borderId="0" xfId="0" applyNumberFormat="1" applyFill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pagnulo  Antonello" id="{6CA66CE1-FEAA-49D9-8BE7-E77E0A6907A8}" userId="S::s316925@studenti.polito.it::21d36c84-b103-48c1-9a5b-b33159c59d8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5" dT="2024-06-30T16:14:20.70" personId="{6CA66CE1-FEAA-49D9-8BE7-E77E0A6907A8}" id="{C6DE634C-211D-4885-A360-AA12C96E9049}">
    <text>Il risultato significa che il contributo di NOX vale x volte le unità di CO2 per la distanza D considerata</text>
  </threadedComment>
  <threadedComment ref="C7" dT="2024-06-30T16:14:45.84" personId="{6CA66CE1-FEAA-49D9-8BE7-E77E0A6907A8}" id="{72772A1A-8BF6-4837-9EFF-9E9BE5AB4A7B}">
    <text>Contributo dovuto agli Idrocarburi ciclici</text>
  </threadedComment>
  <threadedComment ref="D8" dT="2024-06-30T16:21:35.13" personId="{6CA66CE1-FEAA-49D9-8BE7-E77E0A6907A8}" id="{DD67A243-25C0-45A4-A622-E8CB24554992}">
    <text xml:space="preserve">The obtained factors indicate that the impact of all emissions is X times the impact of CO2 over the considered time horizon. </text>
  </threadedComment>
  <threadedComment ref="A16" dT="2024-06-25T10:31:34.20" personId="{6CA66CE1-FEAA-49D9-8BE7-E77E0A6907A8}" id="{CF20CA41-76C2-403E-A23E-49B4223DE101}">
    <text>Passenger-Kilometers: un PKM rappresenta il trasporto di un passeggero su una distanza di un chilometro</text>
  </threadedComment>
  <threadedComment ref="D16" dT="2024-07-01T17:31:04.47" personId="{6CA66CE1-FEAA-49D9-8BE7-E77E0A6907A8}" id="{6DB6A591-EEB4-4CA2-865E-B04CAF3507C9}">
    <text>Questo valore è molto importante perché rappresenta i gCO2 eq di un A320, dunque tiene conto di termini come il peso del aeromobile e tanti altri dati</text>
  </threadedComment>
  <threadedComment ref="D43" dT="2024-06-30T16:21:35.13" personId="{6CA66CE1-FEAA-49D9-8BE7-E77E0A6907A8}" id="{F704C249-6709-4F7F-90F5-4194D9C124CE}">
    <text xml:space="preserve">The obtained factors indicate that the impact of all emissions is X times the impact of CO2 over the considered time horizon.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" dT="2024-07-01T14:43:44.73" personId="{6CA66CE1-FEAA-49D9-8BE7-E77E0A6907A8}" id="{FDCC4AFE-1A1A-4B3A-8614-ABE85F0375A1}">
    <text>Costi direttamente collegati all'operatività dell'aeromobile e del servizio di volo</text>
  </threadedComment>
  <threadedComment ref="A9" dT="2024-07-01T14:44:46.06" personId="{6CA66CE1-FEAA-49D9-8BE7-E77E0A6907A8}" id="{70D9EC9E-77B9-4C94-8D6B-AEC0105BADAF}">
    <text>Costi amministrativi e di supporto non direttamente collegati all'operatività del volo</text>
  </threadedComment>
  <threadedComment ref="A14" dT="2024-07-01T14:46:00.47" personId="{6CA66CE1-FEAA-49D9-8BE7-E77E0A6907A8}" id="{BE98AE91-DA3D-4BAE-B3DA-288E6CEEDA92}">
    <text>Costi relativi all'utilizzo di strutture fisiche e servizi di supporto</text>
  </threadedComment>
  <threadedComment ref="A19" dT="2024-07-01T14:47:09.28" personId="{6CA66CE1-FEAA-49D9-8BE7-E77E0A6907A8}" id="{CD04EF3B-E0C7-488D-903A-217BF3830C81}">
    <text>Carburanti specifici per le operazioni di volo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8" dT="2024-06-25T10:31:34.20" personId="{6CA66CE1-FEAA-49D9-8BE7-E77E0A6907A8}" id="{325CBAFF-DBD2-4EDD-A1E9-76BB6F6B1D99}">
    <text>Passenger-Kilometers: un PKM rappresenta il trasporto di un passeggero su una distanza di un chilometro</text>
  </threadedComment>
  <threadedComment ref="E9" dT="2024-06-25T09:20:12.91" personId="{6CA66CE1-FEAA-49D9-8BE7-E77E0A6907A8}" id="{B1F859A9-6147-4735-BA0B-0000A8F342B5}">
    <text>Infrastructure Operations</text>
  </threadedComment>
  <threadedComment ref="F9" dT="2024-06-25T09:20:37.35" personId="{6CA66CE1-FEAA-49D9-8BE7-E77E0A6907A8}" id="{51038D33-9E75-4ECC-B8BC-4960F9F9DA32}">
    <text>Infrastructure Constructions</text>
  </threadedComment>
  <threadedComment ref="A15" dT="2024-06-25T10:34:28.12" personId="{6CA66CE1-FEAA-49D9-8BE7-E77E0A6907A8}" id="{284AFDE6-1A2A-483B-A296-1AD5DF870558}">
    <text>Vehicle Kilometers: un VKM rappresenta il movimento di un veicolo su una distanza di un chilometro</text>
  </threadedComment>
  <threadedComment ref="A22" dT="2024-06-25T10:38:34.37" personId="{6CA66CE1-FEAA-49D9-8BE7-E77E0A6907A8}" id="{EE433482-E1C1-4E44-9E71-0C3D984128EB}">
    <text>Lane Kilometers: rappresenta un chilometro di corsia disponibile sulla strada</text>
  </threadedComment>
  <threadedComment ref="K23" dT="2024-06-25T10:41:42.97" personId="{6CA66CE1-FEAA-49D9-8BE7-E77E0A6907A8}" id="{36F10A7C-7AD1-4CB5-B70F-E25904D14E70}">
    <text>kilo tonnellate di CO2 equivalente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D48" dT="2024-08-30T17:32:35.80" personId="{6CA66CE1-FEAA-49D9-8BE7-E77E0A6907A8}" id="{28A24AB1-F285-4751-B22F-0F7C0C9968A2}">
    <text>La funzione main permette di ottenere tutti gli ouput, e in aggiunta ad essi anche le total_aircraft_emissions (= total_sum + total_emissions_EoL)</text>
  </threadedComment>
  <threadedComment ref="D159" dT="2024-08-30T19:00:44.04" personId="{6CA66CE1-FEAA-49D9-8BE7-E77E0A6907A8}" id="{4984CBEF-02AB-467C-BA09-263C867002DE}">
    <text>Incluso anche il Total Landing Gear Cost e Total Landing Gear Emissions</text>
  </threadedComment>
</ThreadedComment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3CBCA-1904-47BF-BD1A-6C28F516BE44}">
  <dimension ref="A1:L40"/>
  <sheetViews>
    <sheetView zoomScale="80" zoomScaleNormal="80" workbookViewId="0">
      <selection activeCell="D38" sqref="D38"/>
    </sheetView>
  </sheetViews>
  <sheetFormatPr defaultRowHeight="15" x14ac:dyDescent="0.25"/>
  <cols>
    <col min="1" max="1" width="12.85546875" customWidth="1"/>
    <col min="2" max="2" width="45.42578125" bestFit="1" customWidth="1"/>
    <col min="3" max="3" width="33.85546875" customWidth="1"/>
    <col min="4" max="4" width="30.140625" bestFit="1" customWidth="1"/>
    <col min="5" max="5" width="18.85546875" bestFit="1" customWidth="1"/>
    <col min="6" max="6" width="23.5703125" bestFit="1" customWidth="1"/>
    <col min="8" max="8" width="22.5703125" bestFit="1" customWidth="1"/>
    <col min="9" max="9" width="13.42578125" bestFit="1" customWidth="1"/>
    <col min="10" max="10" width="17.7109375" bestFit="1" customWidth="1"/>
    <col min="12" max="12" width="15.28515625" bestFit="1" customWidth="1"/>
  </cols>
  <sheetData>
    <row r="1" spans="1:12" ht="18.75" x14ac:dyDescent="0.3">
      <c r="H1" s="9" t="s">
        <v>40</v>
      </c>
    </row>
    <row r="2" spans="1:12" x14ac:dyDescent="0.25">
      <c r="B2" s="120">
        <v>0.27</v>
      </c>
      <c r="D2" s="120">
        <v>0.19</v>
      </c>
      <c r="F2" s="69" t="s">
        <v>214</v>
      </c>
      <c r="H2" s="69" t="s">
        <v>215</v>
      </c>
      <c r="J2" s="120">
        <v>0.2</v>
      </c>
      <c r="L2" s="120">
        <v>0.04</v>
      </c>
    </row>
    <row r="3" spans="1:12" x14ac:dyDescent="0.25">
      <c r="A3" s="1"/>
      <c r="B3" s="119" t="s">
        <v>33</v>
      </c>
      <c r="C3" s="6"/>
      <c r="D3" s="119" t="s">
        <v>67</v>
      </c>
      <c r="E3" s="6"/>
      <c r="F3" s="119" t="s">
        <v>68</v>
      </c>
      <c r="G3" s="6"/>
      <c r="H3" s="119" t="s">
        <v>69</v>
      </c>
      <c r="I3" s="6"/>
      <c r="J3" s="119" t="s">
        <v>70</v>
      </c>
      <c r="K3" s="6"/>
      <c r="L3" s="119" t="s">
        <v>71</v>
      </c>
    </row>
    <row r="4" spans="1:12" x14ac:dyDescent="0.25">
      <c r="B4" s="1"/>
      <c r="C4" s="1"/>
      <c r="D4" s="1"/>
    </row>
    <row r="5" spans="1:12" x14ac:dyDescent="0.25">
      <c r="B5" s="7" t="s">
        <v>34</v>
      </c>
      <c r="C5" s="1"/>
      <c r="D5" s="7" t="s">
        <v>42</v>
      </c>
      <c r="E5" s="1"/>
      <c r="F5" s="7" t="s">
        <v>48</v>
      </c>
      <c r="G5" s="1"/>
      <c r="H5" s="7" t="s">
        <v>48</v>
      </c>
      <c r="I5" s="1"/>
      <c r="J5" s="8" t="s">
        <v>55</v>
      </c>
      <c r="K5" s="1"/>
      <c r="L5" s="8" t="s">
        <v>61</v>
      </c>
    </row>
    <row r="6" spans="1:12" x14ac:dyDescent="0.25">
      <c r="B6" s="7" t="s">
        <v>35</v>
      </c>
      <c r="C6" s="1"/>
      <c r="D6" s="7" t="s">
        <v>43</v>
      </c>
      <c r="E6" s="1"/>
      <c r="F6" s="7" t="s">
        <v>49</v>
      </c>
      <c r="G6" s="1"/>
      <c r="H6" s="7" t="s">
        <v>53</v>
      </c>
      <c r="I6" s="1"/>
      <c r="J6" s="7" t="s">
        <v>56</v>
      </c>
      <c r="K6" s="1"/>
      <c r="L6" s="7" t="s">
        <v>62</v>
      </c>
    </row>
    <row r="7" spans="1:12" x14ac:dyDescent="0.25">
      <c r="B7" s="7" t="s">
        <v>36</v>
      </c>
      <c r="C7" s="1"/>
      <c r="D7" s="7" t="s">
        <v>44</v>
      </c>
      <c r="E7" s="1"/>
      <c r="F7" s="7" t="s">
        <v>50</v>
      </c>
      <c r="G7" s="1"/>
      <c r="H7" s="7" t="s">
        <v>54</v>
      </c>
      <c r="I7" s="1"/>
      <c r="J7" s="7" t="s">
        <v>57</v>
      </c>
      <c r="K7" s="1"/>
      <c r="L7" s="7" t="s">
        <v>63</v>
      </c>
    </row>
    <row r="8" spans="1:12" x14ac:dyDescent="0.25">
      <c r="B8" s="7" t="s">
        <v>37</v>
      </c>
      <c r="C8" s="1"/>
      <c r="D8" s="7" t="s">
        <v>45</v>
      </c>
      <c r="E8" s="1"/>
      <c r="F8" s="7" t="s">
        <v>51</v>
      </c>
      <c r="G8" s="1"/>
      <c r="H8" s="1"/>
      <c r="I8" s="1"/>
      <c r="J8" s="7" t="s">
        <v>58</v>
      </c>
      <c r="K8" s="1"/>
      <c r="L8" s="7" t="s">
        <v>64</v>
      </c>
    </row>
    <row r="9" spans="1:12" x14ac:dyDescent="0.25">
      <c r="B9" s="7" t="s">
        <v>38</v>
      </c>
      <c r="C9" s="1"/>
      <c r="D9" s="7" t="s">
        <v>46</v>
      </c>
      <c r="E9" s="1"/>
      <c r="F9" s="7" t="s">
        <v>52</v>
      </c>
      <c r="G9" s="1"/>
      <c r="H9" s="1"/>
      <c r="I9" s="1"/>
      <c r="J9" s="7" t="s">
        <v>59</v>
      </c>
      <c r="K9" s="1"/>
      <c r="L9" s="7" t="s">
        <v>52</v>
      </c>
    </row>
    <row r="10" spans="1:12" x14ac:dyDescent="0.25">
      <c r="B10" s="7" t="s">
        <v>39</v>
      </c>
      <c r="C10" s="1"/>
      <c r="D10" s="7" t="s">
        <v>47</v>
      </c>
      <c r="E10" s="1"/>
      <c r="F10" s="1"/>
      <c r="G10" s="1"/>
      <c r="H10" s="1"/>
      <c r="I10" s="1"/>
      <c r="K10" s="1"/>
      <c r="L10" s="7" t="s">
        <v>65</v>
      </c>
    </row>
    <row r="11" spans="1:12" x14ac:dyDescent="0.25">
      <c r="B11" s="1"/>
      <c r="C11" s="1"/>
      <c r="D11" s="1"/>
      <c r="E11" s="1"/>
      <c r="F11" s="69" t="s">
        <v>216</v>
      </c>
      <c r="G11" s="1"/>
      <c r="H11" s="1"/>
      <c r="I11" s="1"/>
      <c r="J11" s="7" t="s">
        <v>60</v>
      </c>
      <c r="K11" s="1"/>
    </row>
    <row r="12" spans="1:12" x14ac:dyDescent="0.25">
      <c r="L12" s="7" t="s">
        <v>66</v>
      </c>
    </row>
    <row r="15" spans="1:12" x14ac:dyDescent="0.25">
      <c r="A15" s="1"/>
      <c r="E15" s="12"/>
    </row>
    <row r="16" spans="1:12" x14ac:dyDescent="0.25">
      <c r="A16" s="1"/>
      <c r="C16" s="10" t="s">
        <v>73</v>
      </c>
    </row>
    <row r="17" spans="1:3" x14ac:dyDescent="0.25">
      <c r="A17" s="1"/>
      <c r="B17" s="14" t="s">
        <v>74</v>
      </c>
      <c r="C17" s="11" t="s">
        <v>76</v>
      </c>
    </row>
    <row r="18" spans="1:3" x14ac:dyDescent="0.25">
      <c r="A18" s="1"/>
      <c r="B18" s="7" t="s">
        <v>77</v>
      </c>
      <c r="C18" s="7">
        <v>68</v>
      </c>
    </row>
    <row r="19" spans="1:3" x14ac:dyDescent="0.25">
      <c r="A19" s="1"/>
      <c r="B19" s="7" t="s">
        <v>78</v>
      </c>
      <c r="C19" s="7">
        <v>15</v>
      </c>
    </row>
    <row r="20" spans="1:3" x14ac:dyDescent="0.25">
      <c r="A20" s="1"/>
      <c r="B20" s="7" t="s">
        <v>79</v>
      </c>
      <c r="C20" s="7">
        <v>9</v>
      </c>
    </row>
    <row r="21" spans="1:3" x14ac:dyDescent="0.25">
      <c r="A21" s="1"/>
      <c r="B21" s="7" t="s">
        <v>80</v>
      </c>
      <c r="C21" s="7">
        <v>6</v>
      </c>
    </row>
    <row r="22" spans="1:3" x14ac:dyDescent="0.25">
      <c r="A22" s="1"/>
      <c r="B22" s="7" t="s">
        <v>81</v>
      </c>
      <c r="C22" s="7">
        <v>2</v>
      </c>
    </row>
    <row r="23" spans="1:3" x14ac:dyDescent="0.25">
      <c r="A23" s="1"/>
      <c r="B23" s="11" t="s">
        <v>82</v>
      </c>
      <c r="C23" s="11">
        <f>SUM(C18:C22)</f>
        <v>100</v>
      </c>
    </row>
    <row r="24" spans="1:3" x14ac:dyDescent="0.25">
      <c r="A24" s="1"/>
    </row>
    <row r="25" spans="1:3" x14ac:dyDescent="0.25">
      <c r="A25" s="1"/>
      <c r="B25" s="1"/>
    </row>
    <row r="29" spans="1:3" x14ac:dyDescent="0.25">
      <c r="A29" s="15" t="s">
        <v>499</v>
      </c>
    </row>
    <row r="30" spans="1:3" x14ac:dyDescent="0.25">
      <c r="B30" s="7" t="s">
        <v>91</v>
      </c>
      <c r="C30" s="7">
        <v>4.1399999999999997</v>
      </c>
    </row>
    <row r="31" spans="1:3" x14ac:dyDescent="0.25">
      <c r="B31" s="7" t="s">
        <v>84</v>
      </c>
      <c r="C31" s="7">
        <v>5.97</v>
      </c>
    </row>
    <row r="32" spans="1:3" x14ac:dyDescent="0.25">
      <c r="B32" s="7" t="s">
        <v>85</v>
      </c>
      <c r="C32" s="7">
        <v>37.57</v>
      </c>
    </row>
    <row r="33" spans="2:3" x14ac:dyDescent="0.25">
      <c r="B33" s="7" t="s">
        <v>86</v>
      </c>
      <c r="C33" s="7">
        <v>34.1</v>
      </c>
    </row>
    <row r="34" spans="2:3" x14ac:dyDescent="0.25">
      <c r="B34" s="7" t="s">
        <v>87</v>
      </c>
      <c r="C34" s="7">
        <v>124</v>
      </c>
    </row>
    <row r="35" spans="2:3" x14ac:dyDescent="0.25">
      <c r="B35" s="7" t="s">
        <v>83</v>
      </c>
      <c r="C35" s="7">
        <v>42600</v>
      </c>
    </row>
    <row r="36" spans="2:3" x14ac:dyDescent="0.25">
      <c r="B36" s="7" t="s">
        <v>88</v>
      </c>
      <c r="C36" s="7">
        <v>19900</v>
      </c>
    </row>
    <row r="37" spans="2:3" x14ac:dyDescent="0.25">
      <c r="B37" s="7" t="s">
        <v>89</v>
      </c>
      <c r="C37" s="7">
        <v>23859</v>
      </c>
    </row>
    <row r="38" spans="2:3" x14ac:dyDescent="0.25">
      <c r="B38" s="7" t="s">
        <v>90</v>
      </c>
      <c r="C38" s="7">
        <v>6200</v>
      </c>
    </row>
    <row r="39" spans="2:3" x14ac:dyDescent="0.25">
      <c r="B39" s="7" t="s">
        <v>92</v>
      </c>
      <c r="C39" s="7">
        <v>100</v>
      </c>
    </row>
    <row r="40" spans="2:3" x14ac:dyDescent="0.25">
      <c r="B40" s="1"/>
      <c r="C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7CA5E-D329-435A-9500-FD9FA9C20906}">
  <dimension ref="I4:P207"/>
  <sheetViews>
    <sheetView topLeftCell="G136" zoomScale="90" zoomScaleNormal="90" workbookViewId="0">
      <selection activeCell="O37" sqref="O37"/>
    </sheetView>
  </sheetViews>
  <sheetFormatPr defaultRowHeight="15" x14ac:dyDescent="0.25"/>
  <cols>
    <col min="1" max="1" width="33.5703125" bestFit="1" customWidth="1"/>
    <col min="2" max="2" width="10.140625" bestFit="1" customWidth="1"/>
    <col min="3" max="3" width="30.140625" customWidth="1"/>
    <col min="4" max="4" width="13.140625" bestFit="1" customWidth="1"/>
    <col min="9" max="9" width="62.28515625" bestFit="1" customWidth="1"/>
    <col min="10" max="11" width="15" bestFit="1" customWidth="1"/>
    <col min="13" max="13" width="7.140625" customWidth="1"/>
    <col min="14" max="14" width="6.85546875" customWidth="1"/>
    <col min="15" max="15" width="18.28515625" bestFit="1" customWidth="1"/>
  </cols>
  <sheetData>
    <row r="4" spans="9:14" x14ac:dyDescent="0.25">
      <c r="I4" s="121" t="s">
        <v>235</v>
      </c>
      <c r="J4" s="122"/>
      <c r="K4" s="122"/>
      <c r="L4" s="123"/>
    </row>
    <row r="5" spans="9:14" x14ac:dyDescent="0.25">
      <c r="I5" s="23" t="s">
        <v>124</v>
      </c>
      <c r="J5" s="23" t="s">
        <v>123</v>
      </c>
      <c r="K5" s="35">
        <v>188263</v>
      </c>
      <c r="L5" s="23" t="s">
        <v>130</v>
      </c>
    </row>
    <row r="6" spans="9:14" x14ac:dyDescent="0.25">
      <c r="I6" s="23" t="s">
        <v>126</v>
      </c>
      <c r="J6" s="23" t="s">
        <v>118</v>
      </c>
      <c r="K6" s="23">
        <v>8046</v>
      </c>
      <c r="L6" s="27" t="s">
        <v>129</v>
      </c>
    </row>
    <row r="7" spans="9:14" x14ac:dyDescent="0.25">
      <c r="I7" s="23" t="s">
        <v>125</v>
      </c>
      <c r="J7" s="23" t="s">
        <v>117</v>
      </c>
      <c r="K7" s="23">
        <v>350</v>
      </c>
      <c r="L7" s="27"/>
    </row>
    <row r="8" spans="9:14" x14ac:dyDescent="0.25">
      <c r="I8" s="23" t="s">
        <v>119</v>
      </c>
      <c r="J8" s="23" t="s">
        <v>127</v>
      </c>
      <c r="K8" s="23">
        <v>25</v>
      </c>
      <c r="L8" s="27" t="s">
        <v>120</v>
      </c>
    </row>
    <row r="9" spans="9:14" ht="18" x14ac:dyDescent="0.35">
      <c r="I9" s="23" t="s">
        <v>232</v>
      </c>
      <c r="J9" s="27" t="s">
        <v>205</v>
      </c>
      <c r="K9" s="68">
        <f>20%*K5</f>
        <v>37652.6</v>
      </c>
      <c r="L9" s="27" t="s">
        <v>130</v>
      </c>
    </row>
    <row r="10" spans="9:14" x14ac:dyDescent="0.25">
      <c r="I10" s="23" t="s">
        <v>145</v>
      </c>
      <c r="J10" s="23" t="s">
        <v>146</v>
      </c>
      <c r="K10" s="23">
        <v>0.224</v>
      </c>
      <c r="L10" s="27" t="s">
        <v>147</v>
      </c>
    </row>
    <row r="13" spans="9:14" x14ac:dyDescent="0.25">
      <c r="I13" t="s">
        <v>132</v>
      </c>
      <c r="J13" t="s">
        <v>131</v>
      </c>
      <c r="K13" s="36">
        <f>0.59+0.0002*(K5/1000)</f>
        <v>0.6276526</v>
      </c>
    </row>
    <row r="14" spans="9:14" x14ac:dyDescent="0.25">
      <c r="I14" t="s">
        <v>133</v>
      </c>
      <c r="J14" t="s">
        <v>134</v>
      </c>
      <c r="K14" s="36">
        <f>1.62+0.0098*(K5/1000)</f>
        <v>3.4649774000000004</v>
      </c>
      <c r="L14" t="s">
        <v>135</v>
      </c>
      <c r="M14">
        <v>8.15</v>
      </c>
      <c r="N14" t="s">
        <v>137</v>
      </c>
    </row>
    <row r="15" spans="9:14" x14ac:dyDescent="0.25">
      <c r="I15" t="s">
        <v>138</v>
      </c>
      <c r="J15" t="s">
        <v>136</v>
      </c>
      <c r="K15" s="39">
        <f>M14*K6*K8*K7</f>
        <v>573780375.00000012</v>
      </c>
      <c r="L15" t="s">
        <v>142</v>
      </c>
    </row>
    <row r="16" spans="9:14" ht="18" x14ac:dyDescent="0.35">
      <c r="I16" t="s">
        <v>233</v>
      </c>
      <c r="J16" t="s">
        <v>206</v>
      </c>
      <c r="K16" s="39">
        <f>K15*(K9/K5)</f>
        <v>114756075.00000001</v>
      </c>
      <c r="L16" t="s">
        <v>142</v>
      </c>
    </row>
    <row r="17" spans="9:16" ht="18" x14ac:dyDescent="0.35">
      <c r="I17" s="25" t="s">
        <v>234</v>
      </c>
      <c r="J17" s="26" t="s">
        <v>240</v>
      </c>
      <c r="K17" s="33">
        <f>K16*K10</f>
        <v>25705360.800000004</v>
      </c>
      <c r="L17" s="25" t="s">
        <v>121</v>
      </c>
    </row>
    <row r="19" spans="9:16" x14ac:dyDescent="0.25">
      <c r="M19" s="127"/>
      <c r="N19" s="128"/>
      <c r="O19" s="70" t="s">
        <v>192</v>
      </c>
      <c r="P19" s="70">
        <v>0.453592</v>
      </c>
    </row>
    <row r="20" spans="9:16" x14ac:dyDescent="0.25">
      <c r="I20" s="124" t="s">
        <v>239</v>
      </c>
      <c r="J20" s="125"/>
      <c r="K20" s="125"/>
      <c r="L20" s="125"/>
      <c r="M20" s="126"/>
    </row>
    <row r="21" spans="9:16" x14ac:dyDescent="0.25">
      <c r="I21" s="23" t="s">
        <v>238</v>
      </c>
      <c r="J21" s="32">
        <v>0.2</v>
      </c>
      <c r="K21" s="23" t="s">
        <v>157</v>
      </c>
      <c r="L21" s="23"/>
      <c r="M21" s="23"/>
    </row>
    <row r="22" spans="9:16" x14ac:dyDescent="0.25">
      <c r="I22" s="23" t="s">
        <v>237</v>
      </c>
      <c r="J22" s="32">
        <v>8</v>
      </c>
      <c r="K22" s="23" t="s">
        <v>157</v>
      </c>
      <c r="L22" s="23"/>
      <c r="M22" s="23"/>
    </row>
    <row r="23" spans="9:16" x14ac:dyDescent="0.25">
      <c r="I23" s="23" t="s">
        <v>236</v>
      </c>
      <c r="J23" s="32">
        <f>-(0.75+0.5+1)</f>
        <v>-2.25</v>
      </c>
      <c r="K23" s="23" t="s">
        <v>157</v>
      </c>
      <c r="L23" s="23"/>
      <c r="M23" s="23"/>
    </row>
    <row r="24" spans="9:16" x14ac:dyDescent="0.25">
      <c r="I24" s="23" t="s">
        <v>152</v>
      </c>
      <c r="J24" s="68">
        <f>0.1*K9</f>
        <v>3765.26</v>
      </c>
      <c r="K24" s="23" t="s">
        <v>130</v>
      </c>
      <c r="L24" s="68">
        <f>J24*P19</f>
        <v>1707.89181392</v>
      </c>
      <c r="M24" s="23" t="s">
        <v>141</v>
      </c>
    </row>
    <row r="25" spans="9:16" x14ac:dyDescent="0.25">
      <c r="I25" s="23" t="s">
        <v>153</v>
      </c>
      <c r="J25" s="68">
        <f>0.3*K9</f>
        <v>11295.779999999999</v>
      </c>
      <c r="K25" s="23" t="s">
        <v>130</v>
      </c>
      <c r="L25" s="68">
        <f>J25*P19</f>
        <v>5123.6754417599996</v>
      </c>
      <c r="M25" s="23" t="s">
        <v>141</v>
      </c>
    </row>
    <row r="26" spans="9:16" x14ac:dyDescent="0.25">
      <c r="I26" s="23" t="s">
        <v>154</v>
      </c>
      <c r="J26" s="68">
        <f>0.6*K9</f>
        <v>22591.559999999998</v>
      </c>
      <c r="K26" s="23" t="s">
        <v>130</v>
      </c>
      <c r="L26" s="68">
        <f>J26*P19</f>
        <v>10247.350883519999</v>
      </c>
      <c r="M26" s="23" t="s">
        <v>141</v>
      </c>
    </row>
    <row r="28" spans="9:16" ht="18" x14ac:dyDescent="0.35">
      <c r="I28" s="28" t="s">
        <v>261</v>
      </c>
      <c r="J28" s="40" t="s">
        <v>247</v>
      </c>
      <c r="K28" s="29">
        <f>L24*J21+L25*J22+L26*J23</f>
        <v>18274.442408943996</v>
      </c>
      <c r="L28" s="28" t="s">
        <v>121</v>
      </c>
    </row>
    <row r="39" spans="9:12" x14ac:dyDescent="0.25">
      <c r="I39" s="121" t="s">
        <v>242</v>
      </c>
      <c r="J39" s="122"/>
      <c r="K39" s="122"/>
      <c r="L39" s="123"/>
    </row>
    <row r="40" spans="9:12" x14ac:dyDescent="0.25">
      <c r="I40" s="23" t="s">
        <v>124</v>
      </c>
      <c r="J40" s="23" t="s">
        <v>123</v>
      </c>
      <c r="K40" s="35">
        <v>188263</v>
      </c>
      <c r="L40" s="23" t="s">
        <v>130</v>
      </c>
    </row>
    <row r="41" spans="9:12" x14ac:dyDescent="0.25">
      <c r="I41" s="23" t="s">
        <v>126</v>
      </c>
      <c r="J41" s="23" t="s">
        <v>118</v>
      </c>
      <c r="K41" s="23">
        <v>8046</v>
      </c>
      <c r="L41" s="27" t="s">
        <v>129</v>
      </c>
    </row>
    <row r="42" spans="9:12" x14ac:dyDescent="0.25">
      <c r="I42" s="23" t="s">
        <v>125</v>
      </c>
      <c r="J42" s="23" t="s">
        <v>117</v>
      </c>
      <c r="K42" s="23">
        <v>350</v>
      </c>
      <c r="L42" s="27"/>
    </row>
    <row r="43" spans="9:12" x14ac:dyDescent="0.25">
      <c r="I43" s="23" t="s">
        <v>119</v>
      </c>
      <c r="J43" s="23" t="s">
        <v>127</v>
      </c>
      <c r="K43" s="23">
        <v>25</v>
      </c>
      <c r="L43" s="27" t="s">
        <v>120</v>
      </c>
    </row>
    <row r="44" spans="9:12" ht="18" x14ac:dyDescent="0.35">
      <c r="I44" s="23" t="s">
        <v>243</v>
      </c>
      <c r="J44" s="27" t="s">
        <v>203</v>
      </c>
      <c r="K44" s="68">
        <f>27%*K40</f>
        <v>50831.01</v>
      </c>
      <c r="L44" s="27" t="s">
        <v>130</v>
      </c>
    </row>
    <row r="45" spans="9:12" x14ac:dyDescent="0.25">
      <c r="I45" s="23" t="s">
        <v>145</v>
      </c>
      <c r="J45" s="23" t="s">
        <v>146</v>
      </c>
      <c r="K45" s="23">
        <v>0.224</v>
      </c>
      <c r="L45" s="27" t="s">
        <v>147</v>
      </c>
    </row>
    <row r="48" spans="9:12" x14ac:dyDescent="0.25">
      <c r="I48" t="s">
        <v>132</v>
      </c>
      <c r="J48" t="s">
        <v>131</v>
      </c>
      <c r="K48" s="36">
        <f>0.59+0.0002*(K40/1000)</f>
        <v>0.6276526</v>
      </c>
    </row>
    <row r="49" spans="9:14" x14ac:dyDescent="0.25">
      <c r="I49" t="s">
        <v>133</v>
      </c>
      <c r="J49" t="s">
        <v>134</v>
      </c>
      <c r="K49" s="36">
        <f>1.62+0.0098*(K40/1000)</f>
        <v>3.4649774000000004</v>
      </c>
      <c r="L49" t="s">
        <v>135</v>
      </c>
      <c r="M49">
        <v>8.15</v>
      </c>
      <c r="N49" t="s">
        <v>137</v>
      </c>
    </row>
    <row r="50" spans="9:14" x14ac:dyDescent="0.25">
      <c r="I50" t="s">
        <v>138</v>
      </c>
      <c r="J50" t="s">
        <v>136</v>
      </c>
      <c r="K50" s="39">
        <f>M49*K41*K43*K42</f>
        <v>573780375.00000012</v>
      </c>
      <c r="L50" t="s">
        <v>142</v>
      </c>
    </row>
    <row r="51" spans="9:14" ht="18" x14ac:dyDescent="0.35">
      <c r="I51" t="s">
        <v>244</v>
      </c>
      <c r="J51" t="s">
        <v>207</v>
      </c>
      <c r="K51" s="39">
        <f>K50*(K44/K40)</f>
        <v>154920701.25000003</v>
      </c>
      <c r="L51" t="s">
        <v>142</v>
      </c>
    </row>
    <row r="52" spans="9:14" ht="18" x14ac:dyDescent="0.35">
      <c r="I52" s="25" t="s">
        <v>260</v>
      </c>
      <c r="J52" s="26" t="s">
        <v>245</v>
      </c>
      <c r="K52" s="33">
        <f>K51*K45</f>
        <v>34702237.080000006</v>
      </c>
      <c r="L52" s="25" t="s">
        <v>121</v>
      </c>
    </row>
    <row r="55" spans="9:14" x14ac:dyDescent="0.25">
      <c r="I55" s="124" t="s">
        <v>241</v>
      </c>
      <c r="J55" s="125"/>
      <c r="K55" s="125"/>
      <c r="L55" s="125"/>
      <c r="M55" s="126"/>
    </row>
    <row r="56" spans="9:14" x14ac:dyDescent="0.25">
      <c r="I56" s="23" t="s">
        <v>250</v>
      </c>
      <c r="J56" s="32">
        <v>0.2</v>
      </c>
      <c r="K56" s="23" t="s">
        <v>157</v>
      </c>
      <c r="L56" s="23"/>
      <c r="M56" s="23"/>
    </row>
    <row r="57" spans="9:14" x14ac:dyDescent="0.25">
      <c r="I57" s="23" t="s">
        <v>249</v>
      </c>
      <c r="J57" s="32">
        <v>8</v>
      </c>
      <c r="K57" s="23" t="s">
        <v>157</v>
      </c>
      <c r="L57" s="23"/>
      <c r="M57" s="23"/>
    </row>
    <row r="58" spans="9:14" x14ac:dyDescent="0.25">
      <c r="I58" s="23" t="s">
        <v>248</v>
      </c>
      <c r="J58" s="32">
        <f>-(0.5+1)</f>
        <v>-1.5</v>
      </c>
      <c r="K58" s="23" t="s">
        <v>157</v>
      </c>
      <c r="L58" s="23"/>
      <c r="M58" s="23"/>
    </row>
    <row r="59" spans="9:14" x14ac:dyDescent="0.25">
      <c r="I59" s="23" t="s">
        <v>152</v>
      </c>
      <c r="J59" s="68">
        <f>0.05*K44</f>
        <v>2541.5505000000003</v>
      </c>
      <c r="K59" s="23" t="s">
        <v>130</v>
      </c>
      <c r="L59" s="68">
        <f>J59*P19</f>
        <v>1152.8269743960002</v>
      </c>
      <c r="M59" s="23" t="s">
        <v>141</v>
      </c>
    </row>
    <row r="60" spans="9:14" x14ac:dyDescent="0.25">
      <c r="I60" s="23" t="s">
        <v>153</v>
      </c>
      <c r="J60" s="68">
        <f>0.35*K44</f>
        <v>17790.853500000001</v>
      </c>
      <c r="K60" s="23" t="s">
        <v>130</v>
      </c>
      <c r="L60" s="68">
        <f>J60*P19</f>
        <v>8069.7888207720007</v>
      </c>
      <c r="M60" s="23" t="s">
        <v>141</v>
      </c>
    </row>
    <row r="61" spans="9:14" x14ac:dyDescent="0.25">
      <c r="I61" s="23" t="s">
        <v>154</v>
      </c>
      <c r="J61" s="68">
        <f>0.6*K44</f>
        <v>30498.606</v>
      </c>
      <c r="K61" s="23" t="s">
        <v>130</v>
      </c>
      <c r="L61" s="68">
        <f>J61*P19</f>
        <v>13833.923692752</v>
      </c>
      <c r="M61" s="23" t="s">
        <v>141</v>
      </c>
    </row>
    <row r="63" spans="9:14" ht="18" x14ac:dyDescent="0.35">
      <c r="I63" s="28" t="s">
        <v>259</v>
      </c>
      <c r="J63" s="40" t="s">
        <v>246</v>
      </c>
      <c r="K63" s="29">
        <f>L59*J56+L60*J57+L61*J58</f>
        <v>44037.990421927207</v>
      </c>
      <c r="L63" s="28" t="s">
        <v>121</v>
      </c>
    </row>
    <row r="75" spans="9:12" x14ac:dyDescent="0.25">
      <c r="I75" s="121" t="s">
        <v>251</v>
      </c>
      <c r="J75" s="122"/>
      <c r="K75" s="122"/>
      <c r="L75" s="123"/>
    </row>
    <row r="76" spans="9:12" x14ac:dyDescent="0.25">
      <c r="I76" s="23" t="s">
        <v>124</v>
      </c>
      <c r="J76" s="23" t="s">
        <v>123</v>
      </c>
      <c r="K76" s="35">
        <v>188263</v>
      </c>
      <c r="L76" s="23" t="s">
        <v>130</v>
      </c>
    </row>
    <row r="77" spans="9:12" x14ac:dyDescent="0.25">
      <c r="I77" s="23" t="s">
        <v>126</v>
      </c>
      <c r="J77" s="23" t="s">
        <v>118</v>
      </c>
      <c r="K77" s="23">
        <v>8046</v>
      </c>
      <c r="L77" s="27" t="s">
        <v>129</v>
      </c>
    </row>
    <row r="78" spans="9:12" x14ac:dyDescent="0.25">
      <c r="I78" s="23" t="s">
        <v>125</v>
      </c>
      <c r="J78" s="23" t="s">
        <v>117</v>
      </c>
      <c r="K78" s="23">
        <v>350</v>
      </c>
      <c r="L78" s="27"/>
    </row>
    <row r="79" spans="9:12" x14ac:dyDescent="0.25">
      <c r="I79" s="23" t="s">
        <v>119</v>
      </c>
      <c r="J79" s="23" t="s">
        <v>127</v>
      </c>
      <c r="K79" s="23">
        <v>25</v>
      </c>
      <c r="L79" s="27" t="s">
        <v>120</v>
      </c>
    </row>
    <row r="80" spans="9:12" ht="18" x14ac:dyDescent="0.35">
      <c r="I80" s="23" t="s">
        <v>256</v>
      </c>
      <c r="J80" s="27" t="s">
        <v>210</v>
      </c>
      <c r="K80" s="68">
        <f>19%*K76</f>
        <v>35769.97</v>
      </c>
      <c r="L80" s="27" t="s">
        <v>130</v>
      </c>
    </row>
    <row r="81" spans="9:14" x14ac:dyDescent="0.25">
      <c r="I81" s="23" t="s">
        <v>145</v>
      </c>
      <c r="J81" s="23" t="s">
        <v>146</v>
      </c>
      <c r="K81" s="23">
        <v>0.224</v>
      </c>
      <c r="L81" s="27" t="s">
        <v>147</v>
      </c>
    </row>
    <row r="84" spans="9:14" x14ac:dyDescent="0.25">
      <c r="I84" t="s">
        <v>132</v>
      </c>
      <c r="J84" t="s">
        <v>131</v>
      </c>
      <c r="K84" s="36">
        <f>0.59+0.0002*(K76/1000)</f>
        <v>0.6276526</v>
      </c>
    </row>
    <row r="85" spans="9:14" x14ac:dyDescent="0.25">
      <c r="I85" t="s">
        <v>133</v>
      </c>
      <c r="J85" t="s">
        <v>134</v>
      </c>
      <c r="K85" s="36">
        <f>1.62+0.0098*(K76/1000)</f>
        <v>3.4649774000000004</v>
      </c>
      <c r="L85" t="s">
        <v>135</v>
      </c>
      <c r="M85">
        <v>8.15</v>
      </c>
      <c r="N85" t="s">
        <v>137</v>
      </c>
    </row>
    <row r="86" spans="9:14" x14ac:dyDescent="0.25">
      <c r="I86" t="s">
        <v>138</v>
      </c>
      <c r="J86" t="s">
        <v>136</v>
      </c>
      <c r="K86" s="39">
        <f>M85*K77*K79*K78</f>
        <v>573780375.00000012</v>
      </c>
      <c r="L86" t="s">
        <v>142</v>
      </c>
    </row>
    <row r="87" spans="9:14" ht="18" x14ac:dyDescent="0.35">
      <c r="I87" t="s">
        <v>257</v>
      </c>
      <c r="J87" t="s">
        <v>255</v>
      </c>
      <c r="K87" s="39">
        <f>K86*(K80/K76)</f>
        <v>109018271.25000003</v>
      </c>
      <c r="L87" t="s">
        <v>142</v>
      </c>
    </row>
    <row r="88" spans="9:14" ht="18" x14ac:dyDescent="0.35">
      <c r="I88" s="25" t="s">
        <v>262</v>
      </c>
      <c r="J88" s="26" t="s">
        <v>254</v>
      </c>
      <c r="K88" s="33">
        <f>K87*K81</f>
        <v>24420092.760000005</v>
      </c>
      <c r="L88" s="25" t="s">
        <v>121</v>
      </c>
    </row>
    <row r="91" spans="9:14" x14ac:dyDescent="0.25">
      <c r="I91" s="124" t="s">
        <v>252</v>
      </c>
      <c r="J91" s="125"/>
      <c r="K91" s="125"/>
      <c r="L91" s="125"/>
      <c r="M91" s="126"/>
    </row>
    <row r="92" spans="9:14" x14ac:dyDescent="0.25">
      <c r="I92" s="23" t="s">
        <v>250</v>
      </c>
      <c r="J92" s="32">
        <v>0.2</v>
      </c>
      <c r="K92" s="23" t="s">
        <v>157</v>
      </c>
      <c r="L92" s="23"/>
      <c r="M92" s="23"/>
    </row>
    <row r="93" spans="9:14" x14ac:dyDescent="0.25">
      <c r="I93" s="23" t="s">
        <v>249</v>
      </c>
      <c r="J93" s="32">
        <v>8</v>
      </c>
      <c r="K93" s="23" t="s">
        <v>157</v>
      </c>
      <c r="L93" s="23"/>
      <c r="M93" s="23"/>
    </row>
    <row r="94" spans="9:14" x14ac:dyDescent="0.25">
      <c r="I94" s="23" t="s">
        <v>236</v>
      </c>
      <c r="J94" s="32">
        <f>-(0.75+0.5+1)</f>
        <v>-2.25</v>
      </c>
      <c r="K94" s="23" t="s">
        <v>157</v>
      </c>
      <c r="L94" s="23"/>
      <c r="M94" s="23"/>
    </row>
    <row r="95" spans="9:14" x14ac:dyDescent="0.25">
      <c r="I95" s="23" t="s">
        <v>152</v>
      </c>
      <c r="J95" s="68">
        <f>0.05*K80</f>
        <v>1788.4985000000001</v>
      </c>
      <c r="K95" s="23" t="s">
        <v>130</v>
      </c>
      <c r="L95" s="68">
        <f>J95*P19</f>
        <v>811.2486116120001</v>
      </c>
      <c r="M95" s="23" t="s">
        <v>141</v>
      </c>
    </row>
    <row r="96" spans="9:14" x14ac:dyDescent="0.25">
      <c r="I96" s="23" t="s">
        <v>153</v>
      </c>
      <c r="J96" s="68">
        <f>0.3*K80</f>
        <v>10730.991</v>
      </c>
      <c r="K96" s="23" t="s">
        <v>130</v>
      </c>
      <c r="L96" s="68">
        <f>J96*P19</f>
        <v>4867.4916696720002</v>
      </c>
      <c r="M96" s="23" t="s">
        <v>141</v>
      </c>
    </row>
    <row r="97" spans="9:13" x14ac:dyDescent="0.25">
      <c r="I97" s="23" t="s">
        <v>154</v>
      </c>
      <c r="J97" s="68">
        <f>0.65*K80</f>
        <v>23250.480500000001</v>
      </c>
      <c r="K97" s="23" t="s">
        <v>130</v>
      </c>
      <c r="L97" s="68">
        <f>J97*P19</f>
        <v>10546.231950956</v>
      </c>
      <c r="M97" s="23" t="s">
        <v>141</v>
      </c>
    </row>
    <row r="99" spans="9:13" ht="18" x14ac:dyDescent="0.35">
      <c r="I99" s="28" t="s">
        <v>258</v>
      </c>
      <c r="J99" s="40" t="s">
        <v>253</v>
      </c>
      <c r="K99" s="29">
        <f>L95*J92+L96*J93+L97*J94</f>
        <v>15373.161190047398</v>
      </c>
      <c r="L99" s="28" t="s">
        <v>121</v>
      </c>
    </row>
    <row r="111" spans="9:13" x14ac:dyDescent="0.25">
      <c r="I111" s="121" t="s">
        <v>263</v>
      </c>
      <c r="J111" s="122"/>
      <c r="K111" s="122"/>
      <c r="L111" s="123"/>
    </row>
    <row r="112" spans="9:13" x14ac:dyDescent="0.25">
      <c r="I112" s="23" t="s">
        <v>124</v>
      </c>
      <c r="J112" s="23" t="s">
        <v>123</v>
      </c>
      <c r="K112" s="35">
        <v>188263</v>
      </c>
      <c r="L112" s="23" t="s">
        <v>130</v>
      </c>
    </row>
    <row r="113" spans="9:14" x14ac:dyDescent="0.25">
      <c r="I113" s="23" t="s">
        <v>126</v>
      </c>
      <c r="J113" s="23" t="s">
        <v>118</v>
      </c>
      <c r="K113" s="23">
        <v>8046</v>
      </c>
      <c r="L113" s="27" t="s">
        <v>129</v>
      </c>
    </row>
    <row r="114" spans="9:14" x14ac:dyDescent="0.25">
      <c r="I114" s="23" t="s">
        <v>125</v>
      </c>
      <c r="J114" s="23" t="s">
        <v>117</v>
      </c>
      <c r="K114" s="23">
        <v>350</v>
      </c>
      <c r="L114" s="27"/>
    </row>
    <row r="115" spans="9:14" x14ac:dyDescent="0.25">
      <c r="I115" s="23" t="s">
        <v>119</v>
      </c>
      <c r="J115" s="23" t="s">
        <v>127</v>
      </c>
      <c r="K115" s="23">
        <v>25</v>
      </c>
      <c r="L115" s="27" t="s">
        <v>120</v>
      </c>
    </row>
    <row r="116" spans="9:14" ht="18" x14ac:dyDescent="0.35">
      <c r="I116" s="23" t="s">
        <v>286</v>
      </c>
      <c r="J116" s="27" t="s">
        <v>264</v>
      </c>
      <c r="K116" s="68">
        <f>11%*K112</f>
        <v>20708.93</v>
      </c>
      <c r="L116" s="27" t="s">
        <v>130</v>
      </c>
    </row>
    <row r="117" spans="9:14" x14ac:dyDescent="0.25">
      <c r="I117" s="23" t="s">
        <v>145</v>
      </c>
      <c r="J117" s="23" t="s">
        <v>146</v>
      </c>
      <c r="K117" s="23">
        <v>0.224</v>
      </c>
      <c r="L117" s="27" t="s">
        <v>147</v>
      </c>
    </row>
    <row r="120" spans="9:14" x14ac:dyDescent="0.25">
      <c r="I120" t="s">
        <v>132</v>
      </c>
      <c r="J120" t="s">
        <v>131</v>
      </c>
      <c r="K120" s="36">
        <f>0.59+0.0002*(K112/1000)</f>
        <v>0.6276526</v>
      </c>
    </row>
    <row r="121" spans="9:14" x14ac:dyDescent="0.25">
      <c r="I121" t="s">
        <v>133</v>
      </c>
      <c r="J121" t="s">
        <v>134</v>
      </c>
      <c r="K121" s="36">
        <f>1.62+0.0098*(K112/1000)</f>
        <v>3.4649774000000004</v>
      </c>
      <c r="L121" t="s">
        <v>135</v>
      </c>
      <c r="M121">
        <v>8.15</v>
      </c>
      <c r="N121" t="s">
        <v>137</v>
      </c>
    </row>
    <row r="122" spans="9:14" x14ac:dyDescent="0.25">
      <c r="I122" t="s">
        <v>138</v>
      </c>
      <c r="J122" t="s">
        <v>136</v>
      </c>
      <c r="K122" s="39">
        <f>M121*K113*K115*K114</f>
        <v>573780375.00000012</v>
      </c>
      <c r="L122" t="s">
        <v>142</v>
      </c>
    </row>
    <row r="123" spans="9:14" ht="18" x14ac:dyDescent="0.35">
      <c r="I123" t="s">
        <v>273</v>
      </c>
      <c r="J123" t="s">
        <v>266</v>
      </c>
      <c r="K123" s="39">
        <f>K122*(K116/K112)</f>
        <v>63115841.250000015</v>
      </c>
      <c r="L123" t="s">
        <v>142</v>
      </c>
    </row>
    <row r="124" spans="9:14" ht="18" x14ac:dyDescent="0.35">
      <c r="I124" s="25" t="s">
        <v>274</v>
      </c>
      <c r="J124" s="26" t="s">
        <v>265</v>
      </c>
      <c r="K124" s="33">
        <f>K123*K117</f>
        <v>14137948.440000003</v>
      </c>
      <c r="L124" s="25" t="s">
        <v>121</v>
      </c>
    </row>
    <row r="127" spans="9:14" x14ac:dyDescent="0.25">
      <c r="I127" s="124" t="s">
        <v>268</v>
      </c>
      <c r="J127" s="125"/>
      <c r="K127" s="125"/>
      <c r="L127" s="125"/>
      <c r="M127" s="126"/>
    </row>
    <row r="128" spans="9:14" x14ac:dyDescent="0.25">
      <c r="I128" s="23" t="s">
        <v>250</v>
      </c>
      <c r="J128" s="32">
        <v>0.2</v>
      </c>
      <c r="K128" s="23" t="s">
        <v>157</v>
      </c>
      <c r="L128" s="23"/>
      <c r="M128" s="23"/>
    </row>
    <row r="129" spans="9:13" x14ac:dyDescent="0.25">
      <c r="I129" s="23" t="s">
        <v>249</v>
      </c>
      <c r="J129" s="32">
        <v>8</v>
      </c>
      <c r="K129" s="23" t="s">
        <v>157</v>
      </c>
      <c r="L129" s="23"/>
      <c r="M129" s="23"/>
    </row>
    <row r="130" spans="9:13" x14ac:dyDescent="0.25">
      <c r="I130" s="23" t="s">
        <v>248</v>
      </c>
      <c r="J130" s="32">
        <f>-(0.5+1)</f>
        <v>-1.5</v>
      </c>
      <c r="K130" s="23" t="s">
        <v>157</v>
      </c>
      <c r="L130" s="23"/>
      <c r="M130" s="23"/>
    </row>
    <row r="131" spans="9:13" x14ac:dyDescent="0.25">
      <c r="I131" s="23" t="s">
        <v>152</v>
      </c>
      <c r="J131" s="68">
        <f>0.05*K116</f>
        <v>1035.4465</v>
      </c>
      <c r="K131" s="23" t="s">
        <v>130</v>
      </c>
      <c r="L131" s="68">
        <f>J131*P19</f>
        <v>469.67024882800001</v>
      </c>
      <c r="M131" s="23" t="s">
        <v>141</v>
      </c>
    </row>
    <row r="132" spans="9:13" x14ac:dyDescent="0.25">
      <c r="I132" s="23" t="s">
        <v>153</v>
      </c>
      <c r="J132" s="68">
        <f>0.3*K116</f>
        <v>6212.6790000000001</v>
      </c>
      <c r="K132" s="23" t="s">
        <v>130</v>
      </c>
      <c r="L132" s="68">
        <f>J132*P19</f>
        <v>2818.0214929680001</v>
      </c>
      <c r="M132" s="23" t="s">
        <v>141</v>
      </c>
    </row>
    <row r="133" spans="9:13" x14ac:dyDescent="0.25">
      <c r="I133" s="23" t="s">
        <v>154</v>
      </c>
      <c r="J133" s="68">
        <f>0.65*K116</f>
        <v>13460.8045</v>
      </c>
      <c r="K133" s="23" t="s">
        <v>130</v>
      </c>
      <c r="L133" s="68">
        <f>J133*P19</f>
        <v>6105.7132347639999</v>
      </c>
      <c r="M133" s="23" t="s">
        <v>141</v>
      </c>
    </row>
    <row r="135" spans="9:13" ht="18" x14ac:dyDescent="0.35">
      <c r="I135" s="28" t="s">
        <v>275</v>
      </c>
      <c r="J135" s="40" t="s">
        <v>267</v>
      </c>
      <c r="K135" s="29">
        <f>L131*J128+L132*J129+L133*J130</f>
        <v>13479.536141363602</v>
      </c>
      <c r="L135" s="28" t="s">
        <v>121</v>
      </c>
    </row>
    <row r="147" spans="9:14" x14ac:dyDescent="0.25">
      <c r="I147" s="121" t="s">
        <v>269</v>
      </c>
      <c r="J147" s="122"/>
      <c r="K147" s="122"/>
      <c r="L147" s="123"/>
    </row>
    <row r="148" spans="9:14" x14ac:dyDescent="0.25">
      <c r="I148" s="23" t="s">
        <v>124</v>
      </c>
      <c r="J148" s="23" t="s">
        <v>123</v>
      </c>
      <c r="K148" s="35">
        <v>188263</v>
      </c>
      <c r="L148" s="23" t="s">
        <v>130</v>
      </c>
    </row>
    <row r="149" spans="9:14" x14ac:dyDescent="0.25">
      <c r="I149" s="23" t="s">
        <v>126</v>
      </c>
      <c r="J149" s="23" t="s">
        <v>118</v>
      </c>
      <c r="K149" s="23">
        <v>8046</v>
      </c>
      <c r="L149" s="27" t="s">
        <v>129</v>
      </c>
    </row>
    <row r="150" spans="9:14" x14ac:dyDescent="0.25">
      <c r="I150" s="23" t="s">
        <v>125</v>
      </c>
      <c r="J150" s="23" t="s">
        <v>117</v>
      </c>
      <c r="K150" s="23">
        <v>350</v>
      </c>
      <c r="L150" s="27"/>
    </row>
    <row r="151" spans="9:14" x14ac:dyDescent="0.25">
      <c r="I151" s="23" t="s">
        <v>119</v>
      </c>
      <c r="J151" s="23" t="s">
        <v>127</v>
      </c>
      <c r="K151" s="23">
        <v>25</v>
      </c>
      <c r="L151" s="27" t="s">
        <v>120</v>
      </c>
    </row>
    <row r="152" spans="9:14" ht="18" x14ac:dyDescent="0.35">
      <c r="I152" s="23" t="s">
        <v>256</v>
      </c>
      <c r="J152" s="27" t="s">
        <v>270</v>
      </c>
      <c r="K152" s="68">
        <f>6%*K148</f>
        <v>11295.779999999999</v>
      </c>
      <c r="L152" s="27" t="s">
        <v>130</v>
      </c>
    </row>
    <row r="153" spans="9:14" x14ac:dyDescent="0.25">
      <c r="I153" s="23" t="s">
        <v>145</v>
      </c>
      <c r="J153" s="23" t="s">
        <v>146</v>
      </c>
      <c r="K153" s="23">
        <v>0.224</v>
      </c>
      <c r="L153" s="27" t="s">
        <v>147</v>
      </c>
    </row>
    <row r="156" spans="9:14" x14ac:dyDescent="0.25">
      <c r="I156" t="s">
        <v>132</v>
      </c>
      <c r="J156" t="s">
        <v>131</v>
      </c>
      <c r="K156" s="36">
        <f>0.59+0.0002*(K148/1000)</f>
        <v>0.6276526</v>
      </c>
    </row>
    <row r="157" spans="9:14" x14ac:dyDescent="0.25">
      <c r="I157" t="s">
        <v>133</v>
      </c>
      <c r="J157" t="s">
        <v>134</v>
      </c>
      <c r="K157" s="36">
        <f>1.62+0.0098*(K148/1000)</f>
        <v>3.4649774000000004</v>
      </c>
      <c r="L157" t="s">
        <v>135</v>
      </c>
      <c r="M157">
        <v>8.15</v>
      </c>
      <c r="N157" t="s">
        <v>137</v>
      </c>
    </row>
    <row r="158" spans="9:14" x14ac:dyDescent="0.25">
      <c r="I158" t="s">
        <v>138</v>
      </c>
      <c r="J158" t="s">
        <v>136</v>
      </c>
      <c r="K158" s="39">
        <f>M157*K149*K151*K150</f>
        <v>573780375.00000012</v>
      </c>
      <c r="L158" t="s">
        <v>142</v>
      </c>
    </row>
    <row r="159" spans="9:14" ht="18" x14ac:dyDescent="0.35">
      <c r="I159" t="s">
        <v>276</v>
      </c>
      <c r="J159" t="s">
        <v>271</v>
      </c>
      <c r="K159" s="39">
        <f>K158*(K152/K148)</f>
        <v>34426822.5</v>
      </c>
      <c r="L159" t="s">
        <v>142</v>
      </c>
    </row>
    <row r="160" spans="9:14" ht="18" x14ac:dyDescent="0.35">
      <c r="I160" s="25" t="s">
        <v>277</v>
      </c>
      <c r="J160" s="26" t="s">
        <v>272</v>
      </c>
      <c r="K160" s="33">
        <f>K159*K153</f>
        <v>7711608.2400000002</v>
      </c>
      <c r="L160" s="25" t="s">
        <v>121</v>
      </c>
    </row>
    <row r="163" spans="9:13" x14ac:dyDescent="0.25">
      <c r="I163" s="124" t="s">
        <v>268</v>
      </c>
      <c r="J163" s="125"/>
      <c r="K163" s="125"/>
      <c r="L163" s="125"/>
      <c r="M163" s="126"/>
    </row>
    <row r="164" spans="9:13" x14ac:dyDescent="0.25">
      <c r="I164" s="23" t="s">
        <v>250</v>
      </c>
      <c r="J164" s="32">
        <v>0.2</v>
      </c>
      <c r="K164" s="23" t="s">
        <v>157</v>
      </c>
      <c r="L164" s="23"/>
      <c r="M164" s="23"/>
    </row>
    <row r="165" spans="9:13" x14ac:dyDescent="0.25">
      <c r="I165" s="23" t="s">
        <v>249</v>
      </c>
      <c r="J165" s="32">
        <v>8</v>
      </c>
      <c r="K165" s="23" t="s">
        <v>157</v>
      </c>
      <c r="L165" s="23"/>
      <c r="M165" s="23"/>
    </row>
    <row r="166" spans="9:13" x14ac:dyDescent="0.25">
      <c r="I166" s="23" t="s">
        <v>248</v>
      </c>
      <c r="J166" s="32">
        <f>-(0.5+1)</f>
        <v>-1.5</v>
      </c>
      <c r="K166" s="23" t="s">
        <v>157</v>
      </c>
      <c r="L166" s="23"/>
      <c r="M166" s="23"/>
    </row>
    <row r="167" spans="9:13" x14ac:dyDescent="0.25">
      <c r="I167" s="23" t="s">
        <v>152</v>
      </c>
      <c r="J167" s="68">
        <f>0.05*K152</f>
        <v>564.78899999999999</v>
      </c>
      <c r="K167" s="23" t="s">
        <v>130</v>
      </c>
      <c r="L167" s="68">
        <f>J167*P19</f>
        <v>256.18377208800001</v>
      </c>
      <c r="M167" s="23" t="s">
        <v>141</v>
      </c>
    </row>
    <row r="168" spans="9:13" x14ac:dyDescent="0.25">
      <c r="I168" s="23" t="s">
        <v>153</v>
      </c>
      <c r="J168" s="68">
        <f>0.3*K152</f>
        <v>3388.7339999999995</v>
      </c>
      <c r="K168" s="23" t="s">
        <v>130</v>
      </c>
      <c r="L168" s="68">
        <f>J168*P19</f>
        <v>1537.1026325279997</v>
      </c>
      <c r="M168" s="23" t="s">
        <v>141</v>
      </c>
    </row>
    <row r="169" spans="9:13" x14ac:dyDescent="0.25">
      <c r="I169" s="23" t="s">
        <v>154</v>
      </c>
      <c r="J169" s="68">
        <f>0.65*K152</f>
        <v>7342.2569999999996</v>
      </c>
      <c r="K169" s="23" t="s">
        <v>130</v>
      </c>
      <c r="L169" s="68">
        <f>J169*P19</f>
        <v>3330.3890371439998</v>
      </c>
      <c r="M169" s="23" t="s">
        <v>141</v>
      </c>
    </row>
    <row r="171" spans="9:13" ht="18" x14ac:dyDescent="0.35">
      <c r="I171" s="28" t="s">
        <v>278</v>
      </c>
      <c r="J171" s="40" t="s">
        <v>267</v>
      </c>
      <c r="K171" s="29">
        <f>L167*J164+L168*J165+L169*J166</f>
        <v>7352.4742589255975</v>
      </c>
      <c r="L171" s="28" t="s">
        <v>121</v>
      </c>
    </row>
    <row r="183" spans="9:12" x14ac:dyDescent="0.25">
      <c r="I183" s="121" t="s">
        <v>279</v>
      </c>
      <c r="J183" s="122"/>
      <c r="K183" s="122"/>
      <c r="L183" s="123"/>
    </row>
    <row r="184" spans="9:12" x14ac:dyDescent="0.25">
      <c r="I184" s="23" t="s">
        <v>124</v>
      </c>
      <c r="J184" s="23" t="s">
        <v>123</v>
      </c>
      <c r="K184" s="35">
        <v>188263</v>
      </c>
      <c r="L184" s="23" t="s">
        <v>130</v>
      </c>
    </row>
    <row r="185" spans="9:12" x14ac:dyDescent="0.25">
      <c r="I185" s="23" t="s">
        <v>126</v>
      </c>
      <c r="J185" s="23" t="s">
        <v>118</v>
      </c>
      <c r="K185" s="23">
        <v>8046</v>
      </c>
      <c r="L185" s="27" t="s">
        <v>129</v>
      </c>
    </row>
    <row r="186" spans="9:12" x14ac:dyDescent="0.25">
      <c r="I186" s="23" t="s">
        <v>125</v>
      </c>
      <c r="J186" s="23" t="s">
        <v>117</v>
      </c>
      <c r="K186" s="23">
        <v>350</v>
      </c>
      <c r="L186" s="27"/>
    </row>
    <row r="187" spans="9:12" x14ac:dyDescent="0.25">
      <c r="I187" s="23" t="s">
        <v>119</v>
      </c>
      <c r="J187" s="23" t="s">
        <v>127</v>
      </c>
      <c r="K187" s="23">
        <v>25</v>
      </c>
      <c r="L187" s="27" t="s">
        <v>120</v>
      </c>
    </row>
    <row r="188" spans="9:12" ht="18" x14ac:dyDescent="0.35">
      <c r="I188" s="23" t="s">
        <v>256</v>
      </c>
      <c r="J188" s="27" t="s">
        <v>280</v>
      </c>
      <c r="K188" s="68">
        <f>13%*K184</f>
        <v>24474.190000000002</v>
      </c>
      <c r="L188" s="27" t="s">
        <v>130</v>
      </c>
    </row>
    <row r="189" spans="9:12" x14ac:dyDescent="0.25">
      <c r="I189" s="23" t="s">
        <v>145</v>
      </c>
      <c r="J189" s="23" t="s">
        <v>146</v>
      </c>
      <c r="K189" s="23">
        <v>0.224</v>
      </c>
      <c r="L189" s="27" t="s">
        <v>147</v>
      </c>
    </row>
    <row r="192" spans="9:12" x14ac:dyDescent="0.25">
      <c r="I192" t="s">
        <v>132</v>
      </c>
      <c r="J192" t="s">
        <v>131</v>
      </c>
      <c r="K192" s="36">
        <f>0.59+0.0002*(K184/1000)</f>
        <v>0.6276526</v>
      </c>
    </row>
    <row r="193" spans="9:14" x14ac:dyDescent="0.25">
      <c r="I193" t="s">
        <v>133</v>
      </c>
      <c r="J193" t="s">
        <v>134</v>
      </c>
      <c r="K193" s="36">
        <f>1.62+0.0098*(K184/1000)</f>
        <v>3.4649774000000004</v>
      </c>
      <c r="L193" t="s">
        <v>135</v>
      </c>
      <c r="M193">
        <v>8.15</v>
      </c>
      <c r="N193" t="s">
        <v>137</v>
      </c>
    </row>
    <row r="194" spans="9:14" x14ac:dyDescent="0.25">
      <c r="I194" t="s">
        <v>138</v>
      </c>
      <c r="J194" t="s">
        <v>136</v>
      </c>
      <c r="K194" s="39">
        <f>M193*K185*K187*K186</f>
        <v>573780375.00000012</v>
      </c>
      <c r="L194" t="s">
        <v>142</v>
      </c>
    </row>
    <row r="195" spans="9:14" ht="18" x14ac:dyDescent="0.35">
      <c r="I195" t="s">
        <v>285</v>
      </c>
      <c r="J195" t="s">
        <v>281</v>
      </c>
      <c r="K195" s="39">
        <f>K194*(K188/K184)</f>
        <v>74591448.750000015</v>
      </c>
      <c r="L195" t="s">
        <v>142</v>
      </c>
    </row>
    <row r="196" spans="9:14" ht="18" x14ac:dyDescent="0.35">
      <c r="I196" s="25" t="s">
        <v>284</v>
      </c>
      <c r="J196" s="26" t="s">
        <v>282</v>
      </c>
      <c r="K196" s="33">
        <f>K195*K189</f>
        <v>16708484.520000003</v>
      </c>
      <c r="L196" s="25" t="s">
        <v>121</v>
      </c>
    </row>
    <row r="199" spans="9:14" x14ac:dyDescent="0.25">
      <c r="I199" s="124" t="s">
        <v>268</v>
      </c>
      <c r="J199" s="125"/>
      <c r="K199" s="125"/>
      <c r="L199" s="125"/>
      <c r="M199" s="126"/>
    </row>
    <row r="200" spans="9:14" x14ac:dyDescent="0.25">
      <c r="I200" s="23" t="s">
        <v>250</v>
      </c>
      <c r="J200" s="32">
        <v>0.2</v>
      </c>
      <c r="K200" s="23" t="s">
        <v>157</v>
      </c>
      <c r="L200" s="23"/>
      <c r="M200" s="23"/>
    </row>
    <row r="201" spans="9:14" x14ac:dyDescent="0.25">
      <c r="I201" s="23" t="s">
        <v>249</v>
      </c>
      <c r="J201" s="32">
        <v>8</v>
      </c>
      <c r="K201" s="23" t="s">
        <v>157</v>
      </c>
      <c r="L201" s="23"/>
      <c r="M201" s="23"/>
    </row>
    <row r="202" spans="9:14" x14ac:dyDescent="0.25">
      <c r="I202" s="23" t="s">
        <v>248</v>
      </c>
      <c r="J202" s="32">
        <f>-(0.5+1)</f>
        <v>-1.5</v>
      </c>
      <c r="K202" s="23" t="s">
        <v>157</v>
      </c>
      <c r="L202" s="23"/>
      <c r="M202" s="23"/>
    </row>
    <row r="203" spans="9:14" x14ac:dyDescent="0.25">
      <c r="I203" s="23" t="s">
        <v>152</v>
      </c>
      <c r="J203" s="68">
        <f>0.05*K188</f>
        <v>1223.7095000000002</v>
      </c>
      <c r="K203" s="23" t="s">
        <v>130</v>
      </c>
      <c r="L203" s="68">
        <f>J203*P19</f>
        <v>555.06483952400004</v>
      </c>
      <c r="M203" s="23" t="s">
        <v>141</v>
      </c>
    </row>
    <row r="204" spans="9:14" x14ac:dyDescent="0.25">
      <c r="I204" s="23" t="s">
        <v>153</v>
      </c>
      <c r="J204" s="68">
        <f>0.3*K188</f>
        <v>7342.2570000000005</v>
      </c>
      <c r="K204" s="23" t="s">
        <v>130</v>
      </c>
      <c r="L204" s="68">
        <f>J204*P19</f>
        <v>3330.3890371440002</v>
      </c>
      <c r="M204" s="23" t="s">
        <v>141</v>
      </c>
    </row>
    <row r="205" spans="9:14" x14ac:dyDescent="0.25">
      <c r="I205" s="23" t="s">
        <v>154</v>
      </c>
      <c r="J205" s="68">
        <f>0.65*K188</f>
        <v>15908.223500000002</v>
      </c>
      <c r="K205" s="23" t="s">
        <v>130</v>
      </c>
      <c r="L205" s="68">
        <f>J205*P19</f>
        <v>7215.8429138120009</v>
      </c>
      <c r="M205" s="23" t="s">
        <v>141</v>
      </c>
    </row>
    <row r="207" spans="9:14" ht="18" x14ac:dyDescent="0.35">
      <c r="I207" s="28" t="s">
        <v>283</v>
      </c>
      <c r="J207" s="40" t="s">
        <v>267</v>
      </c>
      <c r="K207" s="29">
        <f>L203*J200+L204*J201+L205*J202</f>
        <v>15930.360894338801</v>
      </c>
      <c r="L207" s="28" t="s">
        <v>121</v>
      </c>
    </row>
  </sheetData>
  <mergeCells count="13">
    <mergeCell ref="I4:L4"/>
    <mergeCell ref="I20:M20"/>
    <mergeCell ref="M19:N19"/>
    <mergeCell ref="I39:L39"/>
    <mergeCell ref="I163:M163"/>
    <mergeCell ref="I183:L183"/>
    <mergeCell ref="I199:M199"/>
    <mergeCell ref="I55:M55"/>
    <mergeCell ref="I75:L75"/>
    <mergeCell ref="I127:M127"/>
    <mergeCell ref="I91:M91"/>
    <mergeCell ref="I111:L111"/>
    <mergeCell ref="I147:L1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5ACE9-FAB2-40EE-8E0A-0A341E80C167}">
  <dimension ref="A1:L58"/>
  <sheetViews>
    <sheetView zoomScale="80" zoomScaleNormal="80" workbookViewId="0">
      <selection activeCell="H56" sqref="H56"/>
    </sheetView>
  </sheetViews>
  <sheetFormatPr defaultRowHeight="15" x14ac:dyDescent="0.25"/>
  <cols>
    <col min="1" max="1" width="44.7109375" bestFit="1" customWidth="1"/>
    <col min="2" max="2" width="19.5703125" bestFit="1" customWidth="1"/>
    <col min="3" max="3" width="23.28515625" bestFit="1" customWidth="1"/>
    <col min="4" max="4" width="13.140625" bestFit="1" customWidth="1"/>
    <col min="7" max="7" width="16.140625" bestFit="1" customWidth="1"/>
    <col min="8" max="8" width="19.5703125" bestFit="1" customWidth="1"/>
    <col min="9" max="9" width="15.42578125" bestFit="1" customWidth="1"/>
    <col min="11" max="11" width="31.5703125" bestFit="1" customWidth="1"/>
    <col min="12" max="12" width="15" bestFit="1" customWidth="1"/>
    <col min="13" max="13" width="15.7109375" bestFit="1" customWidth="1"/>
    <col min="14" max="14" width="13.85546875" bestFit="1" customWidth="1"/>
  </cols>
  <sheetData>
    <row r="1" spans="1:4" x14ac:dyDescent="0.25">
      <c r="A1" s="129" t="s">
        <v>475</v>
      </c>
      <c r="B1" s="129"/>
      <c r="C1" s="129"/>
      <c r="D1" s="15"/>
    </row>
    <row r="2" spans="1:4" x14ac:dyDescent="0.25">
      <c r="A2" s="11" t="s">
        <v>484</v>
      </c>
      <c r="B2" s="11" t="s">
        <v>485</v>
      </c>
      <c r="C2" s="23"/>
    </row>
    <row r="3" spans="1:4" x14ac:dyDescent="0.25">
      <c r="A3" s="7" t="s">
        <v>476</v>
      </c>
      <c r="B3" s="7">
        <v>5</v>
      </c>
      <c r="C3" s="23" t="s">
        <v>486</v>
      </c>
    </row>
    <row r="4" spans="1:4" x14ac:dyDescent="0.25">
      <c r="A4" s="7" t="s">
        <v>477</v>
      </c>
      <c r="B4" s="7">
        <v>50</v>
      </c>
      <c r="C4" s="23" t="s">
        <v>487</v>
      </c>
    </row>
    <row r="5" spans="1:4" x14ac:dyDescent="0.25">
      <c r="A5" s="7" t="s">
        <v>478</v>
      </c>
      <c r="B5" s="7">
        <v>100</v>
      </c>
      <c r="C5" s="23" t="s">
        <v>487</v>
      </c>
    </row>
    <row r="6" spans="1:4" x14ac:dyDescent="0.25">
      <c r="A6" s="7" t="s">
        <v>479</v>
      </c>
      <c r="B6" s="7">
        <v>20000</v>
      </c>
      <c r="C6" s="23" t="s">
        <v>488</v>
      </c>
    </row>
    <row r="7" spans="1:4" x14ac:dyDescent="0.25">
      <c r="A7" s="7" t="s">
        <v>480</v>
      </c>
      <c r="B7" s="7">
        <v>1.2</v>
      </c>
      <c r="C7" s="23" t="s">
        <v>489</v>
      </c>
    </row>
    <row r="8" spans="1:4" x14ac:dyDescent="0.25">
      <c r="A8" s="7" t="s">
        <v>481</v>
      </c>
      <c r="B8" s="7">
        <v>0.04</v>
      </c>
      <c r="C8" s="23" t="s">
        <v>490</v>
      </c>
    </row>
    <row r="9" spans="1:4" x14ac:dyDescent="0.25">
      <c r="A9" s="7" t="s">
        <v>482</v>
      </c>
      <c r="B9" s="7">
        <v>2</v>
      </c>
      <c r="C9" s="23" t="s">
        <v>491</v>
      </c>
    </row>
    <row r="10" spans="1:4" x14ac:dyDescent="0.25">
      <c r="A10" s="7" t="s">
        <v>483</v>
      </c>
      <c r="B10" s="7">
        <v>1</v>
      </c>
      <c r="C10" s="23" t="s">
        <v>491</v>
      </c>
    </row>
    <row r="11" spans="1:4" x14ac:dyDescent="0.25">
      <c r="A11" s="7" t="s">
        <v>493</v>
      </c>
      <c r="B11" s="100">
        <v>188263</v>
      </c>
      <c r="C11" s="23" t="s">
        <v>130</v>
      </c>
    </row>
    <row r="12" spans="1:4" x14ac:dyDescent="0.25">
      <c r="A12" s="7" t="s">
        <v>496</v>
      </c>
      <c r="B12" s="7">
        <v>8046</v>
      </c>
      <c r="C12" s="23" t="s">
        <v>129</v>
      </c>
    </row>
    <row r="13" spans="1:4" x14ac:dyDescent="0.25">
      <c r="A13" s="7" t="s">
        <v>422</v>
      </c>
      <c r="B13" s="7">
        <v>350</v>
      </c>
      <c r="C13" s="23"/>
    </row>
    <row r="16" spans="1:4" x14ac:dyDescent="0.25">
      <c r="A16" s="1" t="s">
        <v>492</v>
      </c>
      <c r="B16" s="1">
        <f>B11*B8</f>
        <v>7530.52</v>
      </c>
    </row>
    <row r="17" spans="1:9" x14ac:dyDescent="0.25">
      <c r="A17" s="1" t="s">
        <v>494</v>
      </c>
      <c r="B17" s="1">
        <f>B16*B3</f>
        <v>37652.600000000006</v>
      </c>
      <c r="C17" s="102" t="s">
        <v>121</v>
      </c>
    </row>
    <row r="18" spans="1:9" x14ac:dyDescent="0.25">
      <c r="A18" s="1" t="s">
        <v>419</v>
      </c>
      <c r="B18" s="1">
        <f>B16*B9*B4</f>
        <v>753052</v>
      </c>
      <c r="C18" s="102" t="s">
        <v>121</v>
      </c>
    </row>
    <row r="19" spans="1:9" x14ac:dyDescent="0.25">
      <c r="A19" s="1" t="s">
        <v>420</v>
      </c>
      <c r="B19" s="1">
        <f>B16*B10*B5</f>
        <v>753052</v>
      </c>
      <c r="C19" s="102" t="s">
        <v>121</v>
      </c>
    </row>
    <row r="20" spans="1:9" x14ac:dyDescent="0.25">
      <c r="A20" s="1" t="s">
        <v>421</v>
      </c>
      <c r="B20" s="99">
        <f>B17+B18+B19+B6</f>
        <v>1563756.6</v>
      </c>
      <c r="C20" s="102" t="s">
        <v>121</v>
      </c>
    </row>
    <row r="21" spans="1:9" x14ac:dyDescent="0.25">
      <c r="A21" s="1" t="s">
        <v>495</v>
      </c>
      <c r="B21" s="101">
        <f>1+(B12/10000)</f>
        <v>1.8046</v>
      </c>
    </row>
    <row r="22" spans="1:9" x14ac:dyDescent="0.25">
      <c r="A22" s="1" t="s">
        <v>497</v>
      </c>
      <c r="B22" s="101">
        <f>1+(B13/1000)</f>
        <v>1.35</v>
      </c>
    </row>
    <row r="23" spans="1:9" x14ac:dyDescent="0.25">
      <c r="B23" s="101"/>
    </row>
    <row r="24" spans="1:9" x14ac:dyDescent="0.25">
      <c r="B24" s="101"/>
    </row>
    <row r="25" spans="1:9" x14ac:dyDescent="0.25">
      <c r="A25" s="54" t="s">
        <v>423</v>
      </c>
      <c r="B25" s="103">
        <f>B20*B7*B21*B22</f>
        <v>4571567.3597832005</v>
      </c>
      <c r="C25" s="25" t="s">
        <v>121</v>
      </c>
    </row>
    <row r="29" spans="1:9" x14ac:dyDescent="0.25">
      <c r="A29" s="130" t="s">
        <v>122</v>
      </c>
      <c r="B29" s="131"/>
      <c r="C29" s="131"/>
      <c r="D29" s="132"/>
    </row>
    <row r="30" spans="1:9" x14ac:dyDescent="0.25">
      <c r="A30" s="23" t="s">
        <v>124</v>
      </c>
      <c r="B30" s="23" t="s">
        <v>123</v>
      </c>
      <c r="C30" s="35">
        <v>188263</v>
      </c>
      <c r="D30" s="23" t="s">
        <v>130</v>
      </c>
    </row>
    <row r="31" spans="1:9" x14ac:dyDescent="0.25">
      <c r="A31" s="23" t="s">
        <v>126</v>
      </c>
      <c r="B31" s="23" t="s">
        <v>118</v>
      </c>
      <c r="C31" s="23">
        <v>8046</v>
      </c>
      <c r="D31" s="27" t="s">
        <v>129</v>
      </c>
    </row>
    <row r="32" spans="1:9" x14ac:dyDescent="0.25">
      <c r="A32" s="23" t="s">
        <v>125</v>
      </c>
      <c r="B32" s="23" t="s">
        <v>117</v>
      </c>
      <c r="C32" s="23">
        <v>350</v>
      </c>
      <c r="D32" s="27"/>
      <c r="I32" s="38"/>
    </row>
    <row r="33" spans="1:12" x14ac:dyDescent="0.25">
      <c r="A33" s="23" t="s">
        <v>119</v>
      </c>
      <c r="B33" s="23" t="s">
        <v>127</v>
      </c>
      <c r="C33" s="23">
        <v>25</v>
      </c>
      <c r="D33" s="27" t="s">
        <v>120</v>
      </c>
      <c r="I33" s="37"/>
    </row>
    <row r="34" spans="1:12" ht="18" x14ac:dyDescent="0.35">
      <c r="A34" s="23" t="s">
        <v>128</v>
      </c>
      <c r="B34" s="23" t="s">
        <v>177</v>
      </c>
      <c r="C34" s="79">
        <f>4%*C30</f>
        <v>7530.52</v>
      </c>
      <c r="D34" s="27" t="s">
        <v>130</v>
      </c>
    </row>
    <row r="35" spans="1:12" x14ac:dyDescent="0.25">
      <c r="A35" s="23" t="s">
        <v>145</v>
      </c>
      <c r="B35" s="23" t="s">
        <v>146</v>
      </c>
      <c r="C35" s="23">
        <v>0.224</v>
      </c>
      <c r="D35" s="27" t="s">
        <v>147</v>
      </c>
    </row>
    <row r="38" spans="1:12" x14ac:dyDescent="0.25">
      <c r="A38" t="s">
        <v>132</v>
      </c>
      <c r="B38" t="s">
        <v>131</v>
      </c>
      <c r="C38" s="36">
        <f>0.59+0.0002*(C30/1000)</f>
        <v>0.6276526</v>
      </c>
      <c r="K38" s="34">
        <f>C31*350</f>
        <v>2816100</v>
      </c>
      <c r="L38" t="s">
        <v>129</v>
      </c>
    </row>
    <row r="39" spans="1:12" x14ac:dyDescent="0.25">
      <c r="A39" t="s">
        <v>133</v>
      </c>
      <c r="B39" t="s">
        <v>134</v>
      </c>
      <c r="C39" s="36">
        <f>1.62+0.0098*(C30/1000)</f>
        <v>3.4649774000000004</v>
      </c>
      <c r="D39" t="s">
        <v>135</v>
      </c>
      <c r="E39">
        <v>8.15</v>
      </c>
      <c r="F39" t="s">
        <v>137</v>
      </c>
      <c r="J39" t="s">
        <v>159</v>
      </c>
    </row>
    <row r="40" spans="1:12" x14ac:dyDescent="0.25">
      <c r="A40" t="s">
        <v>138</v>
      </c>
      <c r="B40" t="s">
        <v>136</v>
      </c>
      <c r="C40" s="39">
        <f>E39*C31*C33*C32</f>
        <v>573780375.00000012</v>
      </c>
      <c r="D40" t="s">
        <v>142</v>
      </c>
      <c r="G40" s="34">
        <v>573780375</v>
      </c>
      <c r="H40" s="36"/>
    </row>
    <row r="41" spans="1:12" x14ac:dyDescent="0.25">
      <c r="A41" t="s">
        <v>139</v>
      </c>
      <c r="B41" t="s">
        <v>140</v>
      </c>
      <c r="C41" s="39">
        <f>C40*(C34/C30)</f>
        <v>22951215.000000004</v>
      </c>
      <c r="D41" t="s">
        <v>142</v>
      </c>
      <c r="G41" s="34"/>
    </row>
    <row r="42" spans="1:12" x14ac:dyDescent="0.25">
      <c r="A42" s="104" t="s">
        <v>144</v>
      </c>
      <c r="B42" s="105" t="s">
        <v>169</v>
      </c>
      <c r="C42" s="106">
        <f>C41*C35</f>
        <v>5141072.1600000011</v>
      </c>
      <c r="D42" s="104" t="s">
        <v>121</v>
      </c>
    </row>
    <row r="46" spans="1:12" x14ac:dyDescent="0.25">
      <c r="A46" s="124" t="s">
        <v>143</v>
      </c>
      <c r="B46" s="125"/>
      <c r="C46" s="125"/>
      <c r="D46" s="125"/>
      <c r="E46" s="126"/>
    </row>
    <row r="47" spans="1:12" x14ac:dyDescent="0.25">
      <c r="A47" s="23" t="s">
        <v>151</v>
      </c>
      <c r="B47" s="32">
        <v>6.2000000000000003E-5</v>
      </c>
      <c r="C47" s="23" t="s">
        <v>148</v>
      </c>
      <c r="D47" s="23"/>
      <c r="E47" s="23"/>
      <c r="F47">
        <v>1</v>
      </c>
      <c r="G47" t="s">
        <v>157</v>
      </c>
    </row>
    <row r="48" spans="1:12" x14ac:dyDescent="0.25">
      <c r="A48" s="23" t="s">
        <v>149</v>
      </c>
      <c r="B48" s="32">
        <v>1.5E-5</v>
      </c>
      <c r="C48" s="23" t="s">
        <v>148</v>
      </c>
      <c r="D48" s="23"/>
      <c r="E48" s="23"/>
      <c r="F48">
        <v>0.2</v>
      </c>
      <c r="G48" t="s">
        <v>157</v>
      </c>
    </row>
    <row r="49" spans="1:7" x14ac:dyDescent="0.25">
      <c r="A49" s="23" t="s">
        <v>150</v>
      </c>
      <c r="B49" s="32">
        <v>-1.25E-4</v>
      </c>
      <c r="C49" s="23" t="s">
        <v>148</v>
      </c>
      <c r="D49" s="23"/>
      <c r="E49" s="23"/>
      <c r="F49">
        <v>0.75</v>
      </c>
      <c r="G49" t="s">
        <v>157</v>
      </c>
    </row>
    <row r="50" spans="1:7" x14ac:dyDescent="0.25">
      <c r="A50" s="23" t="s">
        <v>152</v>
      </c>
      <c r="B50" s="23">
        <f>0.2*C34</f>
        <v>1506.1040000000003</v>
      </c>
      <c r="C50" s="23" t="s">
        <v>130</v>
      </c>
      <c r="D50" s="23">
        <v>698.53200000000004</v>
      </c>
      <c r="E50" s="23" t="s">
        <v>141</v>
      </c>
    </row>
    <row r="51" spans="1:7" x14ac:dyDescent="0.25">
      <c r="A51" s="23" t="s">
        <v>153</v>
      </c>
      <c r="B51" s="23">
        <f>0.3*C34</f>
        <v>2259.1559999999999</v>
      </c>
      <c r="C51" s="23" t="s">
        <v>130</v>
      </c>
      <c r="D51" s="23">
        <v>1047.627</v>
      </c>
      <c r="E51" s="23" t="s">
        <v>141</v>
      </c>
    </row>
    <row r="52" spans="1:7" x14ac:dyDescent="0.25">
      <c r="A52" s="23" t="s">
        <v>154</v>
      </c>
      <c r="B52" s="23">
        <f>0.5*C34</f>
        <v>3765.26</v>
      </c>
      <c r="C52" s="23" t="s">
        <v>130</v>
      </c>
      <c r="D52" s="23">
        <v>1746.7639999999999</v>
      </c>
      <c r="E52" s="23" t="s">
        <v>141</v>
      </c>
    </row>
    <row r="54" spans="1:7" x14ac:dyDescent="0.25">
      <c r="A54" s="28" t="s">
        <v>155</v>
      </c>
      <c r="B54" s="40" t="s">
        <v>167</v>
      </c>
      <c r="C54" s="29">
        <f>D50*B47+D51*B48-D52*B49</f>
        <v>0.27736888900000001</v>
      </c>
      <c r="D54" s="28" t="s">
        <v>156</v>
      </c>
      <c r="F54">
        <f>F47*D50+F48*D51-F49*D52</f>
        <v>-402.01559999999984</v>
      </c>
      <c r="G54" t="s">
        <v>121</v>
      </c>
    </row>
    <row r="58" spans="1:7" x14ac:dyDescent="0.25">
      <c r="A58" s="30" t="s">
        <v>498</v>
      </c>
      <c r="B58" s="41" t="s">
        <v>168</v>
      </c>
      <c r="C58" s="31">
        <f>B25+N46+C42+F54</f>
        <v>9712237.504183203</v>
      </c>
    </row>
  </sheetData>
  <mergeCells count="3">
    <mergeCell ref="A46:E46"/>
    <mergeCell ref="A1:C1"/>
    <mergeCell ref="A29:D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FD9AB-B5CC-49A6-A074-88260196F50C}">
  <dimension ref="A2:H176"/>
  <sheetViews>
    <sheetView tabSelected="1" topLeftCell="A9" zoomScale="90" zoomScaleNormal="90" workbookViewId="0">
      <selection activeCell="D75" sqref="D75"/>
    </sheetView>
  </sheetViews>
  <sheetFormatPr defaultRowHeight="15" x14ac:dyDescent="0.25"/>
  <cols>
    <col min="1" max="1" width="67.140625" bestFit="1" customWidth="1"/>
    <col min="2" max="2" width="32.42578125" bestFit="1" customWidth="1"/>
    <col min="3" max="3" width="31.140625" bestFit="1" customWidth="1"/>
    <col min="4" max="4" width="41.28515625" bestFit="1" customWidth="1"/>
    <col min="5" max="6" width="32.7109375" bestFit="1" customWidth="1"/>
    <col min="7" max="7" width="35" bestFit="1" customWidth="1"/>
    <col min="8" max="8" width="26.5703125" customWidth="1"/>
    <col min="9" max="9" width="27.42578125" customWidth="1"/>
    <col min="10" max="10" width="26.42578125" customWidth="1"/>
  </cols>
  <sheetData>
    <row r="2" spans="1:4" x14ac:dyDescent="0.25">
      <c r="C2" s="133" t="s">
        <v>163</v>
      </c>
      <c r="D2" s="134"/>
    </row>
    <row r="3" spans="1:4" x14ac:dyDescent="0.25">
      <c r="C3" s="42" t="s">
        <v>164</v>
      </c>
      <c r="D3" s="42">
        <v>8</v>
      </c>
    </row>
    <row r="4" spans="1:4" ht="16.5" x14ac:dyDescent="0.25">
      <c r="C4" s="43" t="s">
        <v>162</v>
      </c>
      <c r="D4" s="43">
        <v>1</v>
      </c>
    </row>
    <row r="5" spans="1:4" ht="16.5" x14ac:dyDescent="0.25">
      <c r="C5" s="43" t="s">
        <v>165</v>
      </c>
      <c r="D5" s="88">
        <f>2.3*ATAN(3.1*D3)-2</f>
        <v>1.5201398305295646</v>
      </c>
    </row>
    <row r="6" spans="1:4" ht="16.5" x14ac:dyDescent="0.25">
      <c r="C6" s="43" t="s">
        <v>161</v>
      </c>
      <c r="D6" s="88">
        <f>1.1*ATAN(0.5*D3)</f>
        <v>1.458399430034836</v>
      </c>
    </row>
    <row r="7" spans="1:4" ht="16.5" x14ac:dyDescent="0.25">
      <c r="C7" s="43" t="s">
        <v>160</v>
      </c>
      <c r="D7" s="88">
        <f>0.2*ATAN(D3)</f>
        <v>0.28928826644962702</v>
      </c>
    </row>
    <row r="8" spans="1:4" ht="16.5" x14ac:dyDescent="0.25">
      <c r="C8" s="42" t="s">
        <v>166</v>
      </c>
      <c r="D8" s="89">
        <f>SUM(D4:D7)</f>
        <v>4.2678275270140276</v>
      </c>
    </row>
    <row r="15" spans="1:4" x14ac:dyDescent="0.25">
      <c r="A15" s="54" t="s">
        <v>182</v>
      </c>
    </row>
    <row r="16" spans="1:4" ht="18" x14ac:dyDescent="0.35">
      <c r="A16" s="87" t="s">
        <v>106</v>
      </c>
      <c r="B16" s="87"/>
      <c r="C16" s="46" t="s">
        <v>171</v>
      </c>
      <c r="D16" s="46">
        <v>182</v>
      </c>
    </row>
    <row r="17" spans="1:8" x14ac:dyDescent="0.25">
      <c r="C17" s="46" t="s">
        <v>170</v>
      </c>
      <c r="D17" s="46">
        <v>180</v>
      </c>
    </row>
    <row r="18" spans="1:8" x14ac:dyDescent="0.25">
      <c r="C18" s="46" t="s">
        <v>172</v>
      </c>
      <c r="D18" s="46">
        <v>8046</v>
      </c>
      <c r="H18" s="3">
        <f>SUM(B32:F32)</f>
        <v>263613318.69599998</v>
      </c>
    </row>
    <row r="19" spans="1:8" x14ac:dyDescent="0.25">
      <c r="C19" s="46" t="s">
        <v>178</v>
      </c>
      <c r="D19" s="55">
        <v>188263</v>
      </c>
    </row>
    <row r="20" spans="1:8" x14ac:dyDescent="0.25">
      <c r="C20" s="70" t="s">
        <v>192</v>
      </c>
      <c r="D20" s="70">
        <v>0.453592</v>
      </c>
    </row>
    <row r="21" spans="1:8" x14ac:dyDescent="0.25">
      <c r="C21" s="70" t="s">
        <v>197</v>
      </c>
      <c r="D21" s="71">
        <f>D19*D20</f>
        <v>85394.590695999999</v>
      </c>
    </row>
    <row r="22" spans="1:8" ht="18" x14ac:dyDescent="0.35">
      <c r="C22" s="46" t="s">
        <v>196</v>
      </c>
      <c r="D22" s="78">
        <f>4%*D19</f>
        <v>7530.52</v>
      </c>
      <c r="E22" s="118">
        <f>D22*D20</f>
        <v>3415.78362784</v>
      </c>
      <c r="F22" s="72" t="s">
        <v>504</v>
      </c>
    </row>
    <row r="23" spans="1:8" ht="18" x14ac:dyDescent="0.35">
      <c r="C23" s="70" t="s">
        <v>200</v>
      </c>
      <c r="D23" s="71">
        <f>27%*D19</f>
        <v>50831.01</v>
      </c>
      <c r="E23" s="118">
        <f>D23*D20</f>
        <v>23056.539487919999</v>
      </c>
      <c r="F23" s="72" t="s">
        <v>504</v>
      </c>
    </row>
    <row r="24" spans="1:8" ht="18" x14ac:dyDescent="0.35">
      <c r="C24" s="70" t="s">
        <v>201</v>
      </c>
      <c r="D24" s="71">
        <f>20%*D19</f>
        <v>37652.6</v>
      </c>
      <c r="E24" s="118">
        <f>D24*D20</f>
        <v>17078.918139199999</v>
      </c>
      <c r="F24" s="72" t="s">
        <v>504</v>
      </c>
    </row>
    <row r="25" spans="1:8" ht="18" x14ac:dyDescent="0.35">
      <c r="C25" s="70" t="s">
        <v>202</v>
      </c>
      <c r="D25" s="71">
        <f>19%*D19</f>
        <v>35769.97</v>
      </c>
      <c r="E25" s="118">
        <f>D25*D20</f>
        <v>16224.972232240001</v>
      </c>
      <c r="F25" s="72" t="s">
        <v>504</v>
      </c>
    </row>
    <row r="26" spans="1:8" ht="18" x14ac:dyDescent="0.35">
      <c r="C26" s="70" t="s">
        <v>217</v>
      </c>
      <c r="D26" s="71">
        <f>11%*D19</f>
        <v>20708.93</v>
      </c>
      <c r="E26" s="118">
        <f>D26*D20</f>
        <v>9393.4049765599993</v>
      </c>
      <c r="F26" s="72" t="s">
        <v>504</v>
      </c>
    </row>
    <row r="27" spans="1:8" ht="18" x14ac:dyDescent="0.35">
      <c r="C27" s="70" t="s">
        <v>218</v>
      </c>
      <c r="D27" s="71">
        <f>6%*D19</f>
        <v>11295.779999999999</v>
      </c>
      <c r="E27" s="118">
        <f>D27*D20</f>
        <v>5123.6754417599996</v>
      </c>
      <c r="F27" s="72" t="s">
        <v>504</v>
      </c>
    </row>
    <row r="28" spans="1:8" ht="18" x14ac:dyDescent="0.35">
      <c r="C28" s="70" t="s">
        <v>226</v>
      </c>
      <c r="D28" s="71">
        <f>13%*D19</f>
        <v>24474.190000000002</v>
      </c>
      <c r="E28" s="118">
        <f>D28*D20</f>
        <v>11101.296790480001</v>
      </c>
      <c r="F28" s="72" t="s">
        <v>504</v>
      </c>
    </row>
    <row r="31" spans="1:8" x14ac:dyDescent="0.25">
      <c r="A31" s="23"/>
      <c r="B31" s="11" t="s">
        <v>102</v>
      </c>
      <c r="C31" s="11" t="s">
        <v>103</v>
      </c>
      <c r="D31" s="11" t="s">
        <v>104</v>
      </c>
      <c r="E31" s="11" t="s">
        <v>173</v>
      </c>
      <c r="F31" s="11" t="s">
        <v>4</v>
      </c>
    </row>
    <row r="32" spans="1:8" x14ac:dyDescent="0.25">
      <c r="A32" s="11" t="s">
        <v>94</v>
      </c>
      <c r="B32" s="45">
        <f>(3.52/100)*D16*D17*D18</f>
        <v>9278260.9920000006</v>
      </c>
      <c r="C32" s="75">
        <f>(78.63/100)*D16*D17*D18</f>
        <v>207258426.64799997</v>
      </c>
      <c r="D32" s="45">
        <f>(2.07/100)*D16*D17*D18</f>
        <v>5456250.0719999997</v>
      </c>
      <c r="E32" s="45">
        <f>(3.5/100)*D16*D17*D18</f>
        <v>9225543.6000000015</v>
      </c>
      <c r="F32" s="45">
        <f>(12.29/100)*D16*D17*D18</f>
        <v>32394837.384</v>
      </c>
    </row>
    <row r="33" spans="1:8" ht="18" x14ac:dyDescent="0.35">
      <c r="C33" s="47" t="s">
        <v>175</v>
      </c>
      <c r="D33" s="48">
        <f>SUM(B32:F32)</f>
        <v>263613318.69599998</v>
      </c>
    </row>
    <row r="35" spans="1:8" x14ac:dyDescent="0.25">
      <c r="F35" s="36"/>
    </row>
    <row r="37" spans="1:8" x14ac:dyDescent="0.25">
      <c r="C37" s="135" t="s">
        <v>163</v>
      </c>
      <c r="D37" s="136"/>
      <c r="F37" s="36"/>
    </row>
    <row r="38" spans="1:8" x14ac:dyDescent="0.25">
      <c r="C38" s="42" t="s">
        <v>174</v>
      </c>
      <c r="D38" s="42">
        <v>8</v>
      </c>
    </row>
    <row r="39" spans="1:8" ht="16.5" x14ac:dyDescent="0.25">
      <c r="C39" s="43" t="s">
        <v>162</v>
      </c>
      <c r="D39" s="44">
        <f>1*D33</f>
        <v>263613318.69599998</v>
      </c>
    </row>
    <row r="40" spans="1:8" ht="16.5" x14ac:dyDescent="0.25">
      <c r="C40" s="43" t="s">
        <v>165</v>
      </c>
      <c r="D40" s="45">
        <f>(2.3*ATAN(3.1*D38)-2)*D33</f>
        <v>400729105.6078735</v>
      </c>
    </row>
    <row r="41" spans="1:8" ht="16.5" x14ac:dyDescent="0.25">
      <c r="C41" s="43" t="s">
        <v>160</v>
      </c>
      <c r="D41" s="45">
        <f>(1.1*ATAN(0.5*D38))*D33</f>
        <v>384453513.73583794</v>
      </c>
    </row>
    <row r="42" spans="1:8" ht="16.5" x14ac:dyDescent="0.25">
      <c r="C42" s="43" t="s">
        <v>383</v>
      </c>
      <c r="D42" s="45">
        <f>(0.2*ATAN(D38))*D33</f>
        <v>76260239.978598893</v>
      </c>
    </row>
    <row r="43" spans="1:8" ht="16.5" x14ac:dyDescent="0.25">
      <c r="C43" s="49" t="s">
        <v>166</v>
      </c>
      <c r="D43" s="50">
        <f>SUM(D39:D42)</f>
        <v>1125056178.0183103</v>
      </c>
    </row>
    <row r="44" spans="1:8" x14ac:dyDescent="0.25">
      <c r="H44">
        <v>1</v>
      </c>
    </row>
    <row r="45" spans="1:8" x14ac:dyDescent="0.25">
      <c r="A45" s="54" t="s">
        <v>183</v>
      </c>
      <c r="F45" s="60"/>
    </row>
    <row r="47" spans="1:8" x14ac:dyDescent="0.25">
      <c r="A47" s="66" t="s">
        <v>190</v>
      </c>
      <c r="B47" s="111"/>
      <c r="C47" s="111"/>
    </row>
    <row r="48" spans="1:8" x14ac:dyDescent="0.25">
      <c r="A48" s="11" t="s">
        <v>74</v>
      </c>
      <c r="B48" s="11" t="s">
        <v>76</v>
      </c>
      <c r="C48" s="11" t="s">
        <v>75</v>
      </c>
    </row>
    <row r="49" spans="1:8" x14ac:dyDescent="0.25">
      <c r="A49" s="7" t="s">
        <v>77</v>
      </c>
      <c r="B49" s="56">
        <v>0.68</v>
      </c>
      <c r="C49" s="58">
        <f>B49*D21</f>
        <v>58068.321673280007</v>
      </c>
    </row>
    <row r="50" spans="1:8" x14ac:dyDescent="0.25">
      <c r="A50" s="7" t="s">
        <v>78</v>
      </c>
      <c r="B50" s="56">
        <v>0.15</v>
      </c>
      <c r="C50" s="58">
        <f>B50*D21</f>
        <v>12809.1886044</v>
      </c>
    </row>
    <row r="51" spans="1:8" x14ac:dyDescent="0.25">
      <c r="A51" s="7" t="s">
        <v>79</v>
      </c>
      <c r="B51" s="56">
        <v>0.09</v>
      </c>
      <c r="C51" s="58">
        <f>B51*D21</f>
        <v>7685.5131626399998</v>
      </c>
    </row>
    <row r="52" spans="1:8" x14ac:dyDescent="0.25">
      <c r="A52" s="7" t="s">
        <v>80</v>
      </c>
      <c r="B52" s="56">
        <v>0.06</v>
      </c>
      <c r="C52" s="58">
        <f>B52*D21</f>
        <v>5123.6754417599996</v>
      </c>
    </row>
    <row r="53" spans="1:8" x14ac:dyDescent="0.25">
      <c r="A53" s="7" t="s">
        <v>81</v>
      </c>
      <c r="B53" s="56">
        <v>0.02</v>
      </c>
      <c r="C53" s="58">
        <f>B53*D21</f>
        <v>1707.89181392</v>
      </c>
    </row>
    <row r="54" spans="1:8" x14ac:dyDescent="0.25">
      <c r="A54" s="13" t="s">
        <v>82</v>
      </c>
      <c r="B54" s="57">
        <f>SUM(B49:B53)</f>
        <v>1</v>
      </c>
      <c r="C54" s="59">
        <f>SUM(C49:C53)</f>
        <v>85394.590695999999</v>
      </c>
    </row>
    <row r="56" spans="1:8" x14ac:dyDescent="0.25">
      <c r="H56" s="19"/>
    </row>
    <row r="57" spans="1:8" x14ac:dyDescent="0.25">
      <c r="A57" s="86" t="s">
        <v>191</v>
      </c>
      <c r="B57" s="110"/>
      <c r="C57" s="110"/>
    </row>
    <row r="58" spans="1:8" ht="18" x14ac:dyDescent="0.35">
      <c r="A58" s="11" t="s">
        <v>74</v>
      </c>
      <c r="B58" s="11" t="s">
        <v>184</v>
      </c>
      <c r="C58" s="11" t="s">
        <v>185</v>
      </c>
      <c r="D58" s="11" t="s">
        <v>186</v>
      </c>
      <c r="E58" s="11" t="s">
        <v>187</v>
      </c>
      <c r="F58" s="11" t="s">
        <v>188</v>
      </c>
      <c r="G58" s="11" t="s">
        <v>189</v>
      </c>
    </row>
    <row r="59" spans="1:8" x14ac:dyDescent="0.25">
      <c r="A59" s="7" t="s">
        <v>77</v>
      </c>
      <c r="B59" s="56">
        <v>1</v>
      </c>
      <c r="C59" s="56">
        <v>0</v>
      </c>
      <c r="D59" s="56">
        <v>0</v>
      </c>
      <c r="E59" s="7">
        <v>2</v>
      </c>
      <c r="F59" s="7">
        <v>0</v>
      </c>
      <c r="G59" s="7">
        <v>0</v>
      </c>
    </row>
    <row r="60" spans="1:8" x14ac:dyDescent="0.25">
      <c r="A60" s="7" t="s">
        <v>78</v>
      </c>
      <c r="B60" s="56">
        <v>0</v>
      </c>
      <c r="C60" s="56">
        <v>0</v>
      </c>
      <c r="D60" s="56">
        <v>1</v>
      </c>
      <c r="E60" s="7">
        <v>0</v>
      </c>
      <c r="F60" s="7">
        <v>0</v>
      </c>
      <c r="G60" s="7">
        <v>3</v>
      </c>
    </row>
    <row r="61" spans="1:8" x14ac:dyDescent="0.25">
      <c r="A61" s="7" t="s">
        <v>79</v>
      </c>
      <c r="B61" s="56">
        <v>1</v>
      </c>
      <c r="C61" s="56">
        <v>0</v>
      </c>
      <c r="D61" s="56">
        <v>0</v>
      </c>
      <c r="E61" s="7">
        <v>1.5</v>
      </c>
      <c r="F61" s="7">
        <v>0</v>
      </c>
      <c r="G61" s="7">
        <v>0</v>
      </c>
    </row>
    <row r="62" spans="1:8" x14ac:dyDescent="0.25">
      <c r="A62" s="7" t="s">
        <v>80</v>
      </c>
      <c r="B62" s="56">
        <v>1</v>
      </c>
      <c r="C62" s="56">
        <v>0</v>
      </c>
      <c r="D62" s="56">
        <v>0</v>
      </c>
      <c r="E62" s="7">
        <v>4</v>
      </c>
      <c r="F62" s="7">
        <v>0</v>
      </c>
      <c r="G62" s="7">
        <v>0</v>
      </c>
    </row>
    <row r="63" spans="1:8" x14ac:dyDescent="0.25">
      <c r="A63" s="7" t="s">
        <v>81</v>
      </c>
      <c r="B63" s="56">
        <v>0</v>
      </c>
      <c r="C63" s="56">
        <v>0.5</v>
      </c>
      <c r="D63" s="56">
        <v>0.5</v>
      </c>
      <c r="E63" s="7">
        <v>0</v>
      </c>
      <c r="F63" s="7">
        <v>5</v>
      </c>
      <c r="G63" s="7">
        <v>1</v>
      </c>
    </row>
    <row r="64" spans="1:8" x14ac:dyDescent="0.25">
      <c r="C64" s="12"/>
    </row>
    <row r="65" spans="1:6" ht="18" x14ac:dyDescent="0.35">
      <c r="A65" s="61" t="s">
        <v>193</v>
      </c>
      <c r="B65" s="62">
        <f>(B59*C49*E59+D60*C50*G60+B61*C51*E61+C52*B62*E62+C53*C63*F63+C53*D63*G63)*1000</f>
        <v>191710856.11252001</v>
      </c>
      <c r="C65" s="12"/>
    </row>
    <row r="66" spans="1:6" ht="18" x14ac:dyDescent="0.35">
      <c r="A66" s="63" t="s">
        <v>194</v>
      </c>
      <c r="B66" s="64">
        <f>D43+B65</f>
        <v>1316767034.1308303</v>
      </c>
    </row>
    <row r="69" spans="1:6" x14ac:dyDescent="0.25">
      <c r="E69" s="1"/>
      <c r="F69" s="19"/>
    </row>
    <row r="70" spans="1:6" x14ac:dyDescent="0.25">
      <c r="E70" s="1"/>
      <c r="F70" s="19"/>
    </row>
    <row r="71" spans="1:6" x14ac:dyDescent="0.25">
      <c r="A71" s="65" t="s">
        <v>195</v>
      </c>
      <c r="E71" s="1"/>
      <c r="F71" s="19"/>
    </row>
    <row r="72" spans="1:6" x14ac:dyDescent="0.25">
      <c r="B72" s="143" t="s">
        <v>176</v>
      </c>
      <c r="C72" s="144"/>
    </row>
    <row r="73" spans="1:6" x14ac:dyDescent="0.25">
      <c r="B73" s="23" t="s">
        <v>178</v>
      </c>
      <c r="C73" s="67">
        <f>D19</f>
        <v>188263</v>
      </c>
    </row>
    <row r="74" spans="1:6" ht="18" x14ac:dyDescent="0.35">
      <c r="B74" s="23" t="s">
        <v>179</v>
      </c>
      <c r="C74" s="95">
        <f>D22</f>
        <v>7530.52</v>
      </c>
    </row>
    <row r="75" spans="1:6" x14ac:dyDescent="0.25">
      <c r="B75" s="23" t="s">
        <v>136</v>
      </c>
      <c r="C75" s="67">
        <v>573780375</v>
      </c>
    </row>
    <row r="76" spans="1:6" x14ac:dyDescent="0.25">
      <c r="B76" s="23" t="s">
        <v>140</v>
      </c>
      <c r="C76" s="52">
        <f>(C74/C73)*C75</f>
        <v>22951215</v>
      </c>
    </row>
    <row r="77" spans="1:6" ht="16.5" x14ac:dyDescent="0.25">
      <c r="B77" s="43" t="s">
        <v>162</v>
      </c>
      <c r="C77" s="35">
        <f>(C74/C73)*D39</f>
        <v>10544532.74784</v>
      </c>
    </row>
    <row r="78" spans="1:6" ht="16.5" x14ac:dyDescent="0.25">
      <c r="A78" s="20" t="s">
        <v>180</v>
      </c>
      <c r="B78" s="51" t="s">
        <v>166</v>
      </c>
      <c r="C78" s="53">
        <f>(C74/C73)*B66</f>
        <v>52670681.365233213</v>
      </c>
      <c r="E78" s="34"/>
    </row>
    <row r="79" spans="1:6" ht="16.5" x14ac:dyDescent="0.25">
      <c r="A79" s="20" t="s">
        <v>181</v>
      </c>
      <c r="B79" s="51" t="s">
        <v>166</v>
      </c>
      <c r="C79" s="53">
        <f>(C76/C75)*B66</f>
        <v>52670681.365233213</v>
      </c>
    </row>
    <row r="80" spans="1:6" ht="16.5" x14ac:dyDescent="0.25">
      <c r="A80" s="20" t="s">
        <v>502</v>
      </c>
      <c r="B80" s="51" t="s">
        <v>166</v>
      </c>
      <c r="C80" s="53">
        <f>D43*4%</f>
        <v>45002247.120732412</v>
      </c>
      <c r="E80" s="72"/>
    </row>
    <row r="82" spans="1:3" x14ac:dyDescent="0.25">
      <c r="A82" s="65" t="s">
        <v>198</v>
      </c>
    </row>
    <row r="83" spans="1:3" x14ac:dyDescent="0.25">
      <c r="B83" s="143" t="s">
        <v>199</v>
      </c>
      <c r="C83" s="144"/>
    </row>
    <row r="84" spans="1:3" x14ac:dyDescent="0.25">
      <c r="B84" s="23" t="s">
        <v>178</v>
      </c>
      <c r="C84" s="67">
        <f>D19</f>
        <v>188263</v>
      </c>
    </row>
    <row r="85" spans="1:3" ht="18" x14ac:dyDescent="0.35">
      <c r="B85" s="27" t="s">
        <v>203</v>
      </c>
      <c r="C85" s="68">
        <f>D23</f>
        <v>50831.01</v>
      </c>
    </row>
    <row r="86" spans="1:3" x14ac:dyDescent="0.25">
      <c r="B86" s="23" t="s">
        <v>136</v>
      </c>
      <c r="C86" s="67">
        <v>573780375</v>
      </c>
    </row>
    <row r="87" spans="1:3" ht="18" x14ac:dyDescent="0.35">
      <c r="B87" s="23" t="s">
        <v>207</v>
      </c>
      <c r="C87" s="52">
        <f>(C85/C84)*C86</f>
        <v>154920701.25</v>
      </c>
    </row>
    <row r="88" spans="1:3" ht="16.5" x14ac:dyDescent="0.25">
      <c r="B88" s="43" t="s">
        <v>162</v>
      </c>
      <c r="C88" s="35">
        <f>(C85/C84)*D39</f>
        <v>71175596.047920004</v>
      </c>
    </row>
    <row r="89" spans="1:3" ht="16.5" x14ac:dyDescent="0.25">
      <c r="A89" s="20" t="s">
        <v>180</v>
      </c>
      <c r="B89" s="51" t="s">
        <v>166</v>
      </c>
      <c r="C89" s="53">
        <f>(C85/C84)*B66</f>
        <v>355527099.21532422</v>
      </c>
    </row>
    <row r="90" spans="1:3" ht="16.5" x14ac:dyDescent="0.25">
      <c r="A90" s="20" t="s">
        <v>181</v>
      </c>
      <c r="B90" s="51" t="s">
        <v>166</v>
      </c>
      <c r="C90" s="53">
        <f>(C87/C86)*B66</f>
        <v>355527099.21532422</v>
      </c>
    </row>
    <row r="93" spans="1:3" x14ac:dyDescent="0.25">
      <c r="A93" s="65" t="s">
        <v>204</v>
      </c>
    </row>
    <row r="94" spans="1:3" x14ac:dyDescent="0.25">
      <c r="B94" s="143" t="s">
        <v>208</v>
      </c>
      <c r="C94" s="144"/>
    </row>
    <row r="95" spans="1:3" x14ac:dyDescent="0.25">
      <c r="B95" s="23" t="s">
        <v>178</v>
      </c>
      <c r="C95" s="67">
        <f>D19</f>
        <v>188263</v>
      </c>
    </row>
    <row r="96" spans="1:3" ht="18" x14ac:dyDescent="0.35">
      <c r="B96" s="27" t="s">
        <v>205</v>
      </c>
      <c r="C96" s="68">
        <f>D24</f>
        <v>37652.6</v>
      </c>
    </row>
    <row r="97" spans="1:3" x14ac:dyDescent="0.25">
      <c r="B97" s="23" t="s">
        <v>136</v>
      </c>
      <c r="C97" s="67">
        <v>573780375</v>
      </c>
    </row>
    <row r="98" spans="1:3" ht="18" x14ac:dyDescent="0.35">
      <c r="B98" s="23" t="s">
        <v>209</v>
      </c>
      <c r="C98" s="52">
        <f>(C96/C95)*C97</f>
        <v>114756074.99999999</v>
      </c>
    </row>
    <row r="99" spans="1:3" ht="16.5" x14ac:dyDescent="0.25">
      <c r="B99" s="43" t="s">
        <v>162</v>
      </c>
      <c r="C99" s="35">
        <f>(C96/C95)*D39</f>
        <v>52722663.739199989</v>
      </c>
    </row>
    <row r="100" spans="1:3" ht="16.5" x14ac:dyDescent="0.25">
      <c r="B100" s="51" t="s">
        <v>166</v>
      </c>
      <c r="C100" s="53">
        <f>(C96/C95)*B66</f>
        <v>263353406.82616603</v>
      </c>
    </row>
    <row r="101" spans="1:3" ht="16.5" x14ac:dyDescent="0.25">
      <c r="B101" s="51" t="s">
        <v>166</v>
      </c>
      <c r="C101" s="53">
        <f>(C98/C97)*B66</f>
        <v>263353406.82616603</v>
      </c>
    </row>
    <row r="104" spans="1:3" x14ac:dyDescent="0.25">
      <c r="A104" s="65" t="s">
        <v>211</v>
      </c>
    </row>
    <row r="105" spans="1:3" x14ac:dyDescent="0.25">
      <c r="B105" s="143" t="s">
        <v>212</v>
      </c>
      <c r="C105" s="144"/>
    </row>
    <row r="106" spans="1:3" x14ac:dyDescent="0.25">
      <c r="B106" s="23" t="s">
        <v>178</v>
      </c>
      <c r="C106" s="67">
        <f>D19</f>
        <v>188263</v>
      </c>
    </row>
    <row r="107" spans="1:3" ht="18" x14ac:dyDescent="0.35">
      <c r="B107" s="27" t="s">
        <v>210</v>
      </c>
      <c r="C107" s="68">
        <f>D25</f>
        <v>35769.97</v>
      </c>
    </row>
    <row r="108" spans="1:3" x14ac:dyDescent="0.25">
      <c r="B108" s="23" t="s">
        <v>136</v>
      </c>
      <c r="C108" s="67">
        <v>573780375</v>
      </c>
    </row>
    <row r="109" spans="1:3" ht="18" x14ac:dyDescent="0.35">
      <c r="B109" s="23" t="s">
        <v>213</v>
      </c>
      <c r="C109" s="52">
        <f>(C107/C106)*C108</f>
        <v>109018271.25</v>
      </c>
    </row>
    <row r="110" spans="1:3" ht="16.5" x14ac:dyDescent="0.25">
      <c r="B110" s="43" t="s">
        <v>162</v>
      </c>
      <c r="C110" s="35">
        <f>(C107/C106)*D39</f>
        <v>50086530.552239999</v>
      </c>
    </row>
    <row r="111" spans="1:3" ht="16.5" x14ac:dyDescent="0.25">
      <c r="B111" s="51" t="s">
        <v>166</v>
      </c>
      <c r="C111" s="53">
        <f>(C107/C106)*B66</f>
        <v>250185736.48485777</v>
      </c>
    </row>
    <row r="112" spans="1:3" ht="16.5" x14ac:dyDescent="0.25">
      <c r="B112" s="51" t="s">
        <v>166</v>
      </c>
      <c r="C112" s="53">
        <f>(C109/C108)*B66</f>
        <v>250185736.48485777</v>
      </c>
    </row>
    <row r="115" spans="1:3" x14ac:dyDescent="0.25">
      <c r="A115" s="65" t="s">
        <v>219</v>
      </c>
    </row>
    <row r="116" spans="1:3" x14ac:dyDescent="0.25">
      <c r="B116" s="143" t="s">
        <v>224</v>
      </c>
      <c r="C116" s="144"/>
    </row>
    <row r="117" spans="1:3" x14ac:dyDescent="0.25">
      <c r="B117" s="23" t="s">
        <v>178</v>
      </c>
      <c r="C117" s="67">
        <f>D19</f>
        <v>188263</v>
      </c>
    </row>
    <row r="118" spans="1:3" ht="18" x14ac:dyDescent="0.35">
      <c r="B118" s="27" t="s">
        <v>220</v>
      </c>
      <c r="C118" s="68">
        <f>D26</f>
        <v>20708.93</v>
      </c>
    </row>
    <row r="119" spans="1:3" x14ac:dyDescent="0.25">
      <c r="B119" s="23" t="s">
        <v>136</v>
      </c>
      <c r="C119" s="67">
        <v>573780375</v>
      </c>
    </row>
    <row r="120" spans="1:3" ht="18" x14ac:dyDescent="0.35">
      <c r="B120" s="23" t="s">
        <v>221</v>
      </c>
      <c r="C120" s="52">
        <f>(C118/C117)*C119</f>
        <v>63115841.25</v>
      </c>
    </row>
    <row r="121" spans="1:3" ht="16.5" x14ac:dyDescent="0.25">
      <c r="B121" s="43" t="s">
        <v>162</v>
      </c>
      <c r="C121" s="35">
        <f>(C118/C117)*D39</f>
        <v>28997465.056559999</v>
      </c>
    </row>
    <row r="122" spans="1:3" ht="16.5" x14ac:dyDescent="0.25">
      <c r="B122" s="51" t="s">
        <v>166</v>
      </c>
      <c r="C122" s="53">
        <f>(C118/C117)*B66</f>
        <v>144844373.75439134</v>
      </c>
    </row>
    <row r="123" spans="1:3" ht="16.5" x14ac:dyDescent="0.25">
      <c r="B123" s="51" t="s">
        <v>166</v>
      </c>
      <c r="C123" s="53">
        <f>(C120/C119)*B66</f>
        <v>144844373.75439134</v>
      </c>
    </row>
    <row r="126" spans="1:3" x14ac:dyDescent="0.25">
      <c r="A126" s="65" t="s">
        <v>222</v>
      </c>
    </row>
    <row r="127" spans="1:3" x14ac:dyDescent="0.25">
      <c r="B127" s="143" t="s">
        <v>225</v>
      </c>
      <c r="C127" s="144"/>
    </row>
    <row r="128" spans="1:3" x14ac:dyDescent="0.25">
      <c r="B128" s="23" t="s">
        <v>178</v>
      </c>
      <c r="C128" s="67">
        <f>D19</f>
        <v>188263</v>
      </c>
    </row>
    <row r="129" spans="1:5" ht="18" x14ac:dyDescent="0.35">
      <c r="B129" s="27" t="s">
        <v>223</v>
      </c>
      <c r="C129" s="68">
        <f>D27</f>
        <v>11295.779999999999</v>
      </c>
    </row>
    <row r="130" spans="1:5" x14ac:dyDescent="0.25">
      <c r="B130" s="23" t="s">
        <v>136</v>
      </c>
      <c r="C130" s="67">
        <v>573780375</v>
      </c>
    </row>
    <row r="131" spans="1:5" ht="18" x14ac:dyDescent="0.35">
      <c r="B131" s="23" t="s">
        <v>231</v>
      </c>
      <c r="C131" s="52">
        <f>(C129/C128)*C130</f>
        <v>34426822.499999993</v>
      </c>
    </row>
    <row r="132" spans="1:5" ht="16.5" x14ac:dyDescent="0.25">
      <c r="B132" s="43" t="s">
        <v>162</v>
      </c>
      <c r="C132" s="35">
        <f>(C129/C128)*D39</f>
        <v>15816799.121759996</v>
      </c>
    </row>
    <row r="133" spans="1:5" ht="16.5" x14ac:dyDescent="0.25">
      <c r="B133" s="51" t="s">
        <v>166</v>
      </c>
      <c r="C133" s="53">
        <f>(C129/C128)*B66</f>
        <v>79006022.047849804</v>
      </c>
    </row>
    <row r="134" spans="1:5" ht="16.5" x14ac:dyDescent="0.25">
      <c r="B134" s="51" t="s">
        <v>166</v>
      </c>
      <c r="C134" s="53">
        <f>(C131/C130)*B66</f>
        <v>79006022.047849789</v>
      </c>
    </row>
    <row r="135" spans="1:5" x14ac:dyDescent="0.25">
      <c r="E135" s="1"/>
    </row>
    <row r="136" spans="1:5" x14ac:dyDescent="0.25">
      <c r="A136" s="65" t="s">
        <v>227</v>
      </c>
      <c r="E136" s="36"/>
    </row>
    <row r="137" spans="1:5" x14ac:dyDescent="0.25">
      <c r="B137" s="143" t="s">
        <v>230</v>
      </c>
      <c r="C137" s="144"/>
    </row>
    <row r="138" spans="1:5" x14ac:dyDescent="0.25">
      <c r="B138" s="23" t="s">
        <v>178</v>
      </c>
      <c r="C138" s="67">
        <f>D19</f>
        <v>188263</v>
      </c>
    </row>
    <row r="139" spans="1:5" ht="18" x14ac:dyDescent="0.35">
      <c r="B139" s="27" t="s">
        <v>228</v>
      </c>
      <c r="C139" s="68">
        <f>D28</f>
        <v>24474.190000000002</v>
      </c>
    </row>
    <row r="140" spans="1:5" x14ac:dyDescent="0.25">
      <c r="B140" s="23" t="s">
        <v>136</v>
      </c>
      <c r="C140" s="67">
        <v>573780375</v>
      </c>
    </row>
    <row r="141" spans="1:5" ht="18" x14ac:dyDescent="0.35">
      <c r="B141" s="23" t="s">
        <v>229</v>
      </c>
      <c r="C141" s="52">
        <f>(C139/C138)*C140</f>
        <v>74591448.75</v>
      </c>
    </row>
    <row r="142" spans="1:5" ht="16.5" x14ac:dyDescent="0.25">
      <c r="B142" s="43" t="s">
        <v>162</v>
      </c>
      <c r="C142" s="35">
        <f>(C139/C138)*D39</f>
        <v>34269731.430479996</v>
      </c>
    </row>
    <row r="143" spans="1:5" ht="16.5" x14ac:dyDescent="0.25">
      <c r="B143" s="51" t="s">
        <v>166</v>
      </c>
      <c r="C143" s="53">
        <f>(C139/C138)*B66</f>
        <v>171179714.43700793</v>
      </c>
    </row>
    <row r="144" spans="1:5" ht="16.5" x14ac:dyDescent="0.25">
      <c r="B144" s="51" t="s">
        <v>166</v>
      </c>
      <c r="C144" s="53">
        <f>(C141/C140)*B66</f>
        <v>171179714.43700793</v>
      </c>
    </row>
    <row r="146" spans="1:5" x14ac:dyDescent="0.25">
      <c r="E146" s="3">
        <f>C150+C153+C156</f>
        <v>3415.78362784</v>
      </c>
    </row>
    <row r="148" spans="1:5" x14ac:dyDescent="0.25">
      <c r="A148" s="63" t="s">
        <v>503</v>
      </c>
    </row>
    <row r="149" spans="1:5" x14ac:dyDescent="0.25">
      <c r="B149" s="94" t="s">
        <v>448</v>
      </c>
      <c r="C149" s="11" t="s">
        <v>464</v>
      </c>
      <c r="D149" s="94" t="s">
        <v>449</v>
      </c>
      <c r="E149" s="94" t="s">
        <v>450</v>
      </c>
    </row>
    <row r="150" spans="1:5" x14ac:dyDescent="0.25">
      <c r="B150" s="137" t="s">
        <v>451</v>
      </c>
      <c r="C150" s="140">
        <f>(50%)*C74*D20</f>
        <v>1707.89181392</v>
      </c>
      <c r="D150" s="112" t="s">
        <v>80</v>
      </c>
      <c r="E150" s="113">
        <v>0.7</v>
      </c>
    </row>
    <row r="151" spans="1:5" x14ac:dyDescent="0.25">
      <c r="B151" s="137"/>
      <c r="C151" s="140"/>
      <c r="D151" s="112" t="s">
        <v>452</v>
      </c>
      <c r="E151" s="113">
        <v>0.2</v>
      </c>
    </row>
    <row r="152" spans="1:5" x14ac:dyDescent="0.25">
      <c r="B152" s="137"/>
      <c r="C152" s="140"/>
      <c r="D152" s="112" t="s">
        <v>453</v>
      </c>
      <c r="E152" s="113">
        <v>0.1</v>
      </c>
    </row>
    <row r="153" spans="1:5" x14ac:dyDescent="0.25">
      <c r="B153" s="138" t="s">
        <v>454</v>
      </c>
      <c r="C153" s="141">
        <f>(30%)*C74*D20</f>
        <v>1024.735088352</v>
      </c>
      <c r="D153" s="114" t="s">
        <v>455</v>
      </c>
      <c r="E153" s="115">
        <v>0.6</v>
      </c>
    </row>
    <row r="154" spans="1:5" x14ac:dyDescent="0.25">
      <c r="B154" s="138"/>
      <c r="C154" s="141"/>
      <c r="D154" s="114" t="s">
        <v>456</v>
      </c>
      <c r="E154" s="115">
        <v>0.3</v>
      </c>
    </row>
    <row r="155" spans="1:5" x14ac:dyDescent="0.25">
      <c r="B155" s="138"/>
      <c r="C155" s="141"/>
      <c r="D155" s="114" t="s">
        <v>452</v>
      </c>
      <c r="E155" s="115">
        <v>0.1</v>
      </c>
    </row>
    <row r="156" spans="1:5" x14ac:dyDescent="0.25">
      <c r="B156" s="139" t="s">
        <v>457</v>
      </c>
      <c r="C156" s="142">
        <f>(20%)*C74*D20</f>
        <v>683.15672556800007</v>
      </c>
      <c r="D156" s="116" t="s">
        <v>452</v>
      </c>
      <c r="E156" s="117">
        <v>0.8</v>
      </c>
    </row>
    <row r="157" spans="1:5" x14ac:dyDescent="0.25">
      <c r="B157" s="139"/>
      <c r="C157" s="142"/>
      <c r="D157" s="116" t="s">
        <v>453</v>
      </c>
      <c r="E157" s="117">
        <v>0.1</v>
      </c>
    </row>
    <row r="158" spans="1:5" x14ac:dyDescent="0.25">
      <c r="B158" s="139"/>
      <c r="C158" s="142"/>
      <c r="D158" s="116" t="s">
        <v>455</v>
      </c>
      <c r="E158" s="117">
        <v>0.1</v>
      </c>
    </row>
    <row r="161" spans="2:5" x14ac:dyDescent="0.25">
      <c r="B161" s="11" t="s">
        <v>449</v>
      </c>
      <c r="C161" s="96" t="s">
        <v>463</v>
      </c>
    </row>
    <row r="162" spans="2:5" x14ac:dyDescent="0.25">
      <c r="B162" s="77" t="s">
        <v>458</v>
      </c>
      <c r="C162" s="77">
        <v>2</v>
      </c>
    </row>
    <row r="163" spans="2:5" x14ac:dyDescent="0.25">
      <c r="B163" s="77" t="s">
        <v>459</v>
      </c>
      <c r="C163" s="77">
        <v>3</v>
      </c>
    </row>
    <row r="164" spans="2:5" x14ac:dyDescent="0.25">
      <c r="B164" s="77" t="s">
        <v>460</v>
      </c>
      <c r="C164" s="77">
        <v>1.5</v>
      </c>
      <c r="E164" s="72"/>
    </row>
    <row r="165" spans="2:5" x14ac:dyDescent="0.25">
      <c r="B165" s="77" t="s">
        <v>461</v>
      </c>
      <c r="C165" s="77">
        <v>4</v>
      </c>
    </row>
    <row r="166" spans="2:5" x14ac:dyDescent="0.25">
      <c r="B166" s="77" t="s">
        <v>462</v>
      </c>
      <c r="C166" s="77">
        <v>1.5</v>
      </c>
    </row>
    <row r="168" spans="2:5" x14ac:dyDescent="0.25">
      <c r="E168" s="1"/>
    </row>
    <row r="169" spans="2:5" ht="18" x14ac:dyDescent="0.35">
      <c r="B169" s="7" t="s">
        <v>466</v>
      </c>
      <c r="C169" s="97">
        <f>C150*E150</f>
        <v>1195.5242697439999</v>
      </c>
      <c r="D169" s="7" t="s">
        <v>465</v>
      </c>
      <c r="E169" s="98">
        <f>C169*C165</f>
        <v>4782.0970789759995</v>
      </c>
    </row>
    <row r="170" spans="2:5" ht="18" x14ac:dyDescent="0.35">
      <c r="B170" s="7" t="s">
        <v>467</v>
      </c>
      <c r="C170" s="97">
        <f>C150*E151+C153*E155+C156*E156</f>
        <v>990.57725207360011</v>
      </c>
      <c r="D170" s="7" t="s">
        <v>471</v>
      </c>
      <c r="E170" s="97">
        <f>C170*C162</f>
        <v>1981.1545041472002</v>
      </c>
    </row>
    <row r="171" spans="2:5" ht="18" x14ac:dyDescent="0.35">
      <c r="B171" s="7" t="s">
        <v>468</v>
      </c>
      <c r="C171" s="97">
        <f>C150*E152+C156*E157</f>
        <v>239.10485394880004</v>
      </c>
      <c r="D171" s="7" t="s">
        <v>472</v>
      </c>
      <c r="E171" s="97">
        <f>C171*C164</f>
        <v>358.65728092320006</v>
      </c>
    </row>
    <row r="172" spans="2:5" ht="18" x14ac:dyDescent="0.35">
      <c r="B172" s="7" t="s">
        <v>469</v>
      </c>
      <c r="C172" s="97">
        <f>C153*E153+C156*E158</f>
        <v>683.15672556799996</v>
      </c>
      <c r="D172" s="7" t="s">
        <v>473</v>
      </c>
      <c r="E172" s="97">
        <f>C172*C163</f>
        <v>2049.4701767039996</v>
      </c>
    </row>
    <row r="173" spans="2:5" ht="18" x14ac:dyDescent="0.35">
      <c r="B173" s="7" t="s">
        <v>470</v>
      </c>
      <c r="C173" s="97">
        <f>C153*E154</f>
        <v>307.42052650559998</v>
      </c>
      <c r="D173" s="7" t="s">
        <v>474</v>
      </c>
      <c r="E173" s="97">
        <f>C173*C166</f>
        <v>461.13078975839994</v>
      </c>
    </row>
    <row r="175" spans="2:5" x14ac:dyDescent="0.25">
      <c r="D175" s="54" t="s">
        <v>501</v>
      </c>
      <c r="E175" s="107">
        <f>(SUM(E169:E173))*1000</f>
        <v>9632509.8305087984</v>
      </c>
    </row>
    <row r="176" spans="2:5" x14ac:dyDescent="0.25">
      <c r="D176" s="108" t="s">
        <v>500</v>
      </c>
      <c r="E176" s="109">
        <f>C80+E175</f>
        <v>54634756.95124121</v>
      </c>
    </row>
  </sheetData>
  <mergeCells count="15">
    <mergeCell ref="C2:D2"/>
    <mergeCell ref="C37:D37"/>
    <mergeCell ref="B150:B152"/>
    <mergeCell ref="B153:B155"/>
    <mergeCell ref="B156:B158"/>
    <mergeCell ref="C150:C152"/>
    <mergeCell ref="C153:C155"/>
    <mergeCell ref="C156:C158"/>
    <mergeCell ref="B72:C72"/>
    <mergeCell ref="B127:C127"/>
    <mergeCell ref="B137:C137"/>
    <mergeCell ref="B116:C116"/>
    <mergeCell ref="B105:C105"/>
    <mergeCell ref="B94:C94"/>
    <mergeCell ref="B83:C83"/>
  </mergeCells>
  <phoneticPr fontId="13" type="noConversion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59A9C-D643-4958-B96F-C6437A9B2F61}">
  <dimension ref="A1:K21"/>
  <sheetViews>
    <sheetView workbookViewId="0">
      <selection activeCell="E20" sqref="E20"/>
    </sheetView>
  </sheetViews>
  <sheetFormatPr defaultRowHeight="15" x14ac:dyDescent="0.25"/>
  <cols>
    <col min="1" max="1" width="27.5703125" bestFit="1" customWidth="1"/>
    <col min="2" max="2" width="35" bestFit="1" customWidth="1"/>
    <col min="5" max="5" width="35" bestFit="1" customWidth="1"/>
    <col min="8" max="8" width="21" bestFit="1" customWidth="1"/>
    <col min="11" max="11" width="14.7109375" bestFit="1" customWidth="1"/>
  </cols>
  <sheetData>
    <row r="1" spans="1:11" x14ac:dyDescent="0.25">
      <c r="A1" s="10" t="s">
        <v>29</v>
      </c>
    </row>
    <row r="2" spans="1:11" x14ac:dyDescent="0.25">
      <c r="A2" s="1"/>
      <c r="B2" s="2" t="s">
        <v>0</v>
      </c>
      <c r="E2" s="5" t="s">
        <v>1</v>
      </c>
      <c r="K2" s="1"/>
    </row>
    <row r="3" spans="1:11" x14ac:dyDescent="0.25">
      <c r="A3" s="1"/>
      <c r="B3" s="1" t="s">
        <v>8</v>
      </c>
      <c r="E3" s="4" t="s">
        <v>13</v>
      </c>
    </row>
    <row r="4" spans="1:11" x14ac:dyDescent="0.25">
      <c r="A4" s="1"/>
      <c r="B4" s="1" t="s">
        <v>9</v>
      </c>
      <c r="E4" s="4" t="s">
        <v>14</v>
      </c>
    </row>
    <row r="5" spans="1:11" x14ac:dyDescent="0.25">
      <c r="A5" s="1"/>
      <c r="B5" s="1" t="s">
        <v>10</v>
      </c>
      <c r="E5" s="4" t="s">
        <v>15</v>
      </c>
    </row>
    <row r="6" spans="1:11" x14ac:dyDescent="0.25">
      <c r="A6" s="1"/>
      <c r="B6" s="1" t="s">
        <v>11</v>
      </c>
      <c r="E6" s="4" t="s">
        <v>16</v>
      </c>
    </row>
    <row r="7" spans="1:11" x14ac:dyDescent="0.25">
      <c r="A7" s="1"/>
      <c r="B7" s="1" t="s">
        <v>12</v>
      </c>
    </row>
    <row r="8" spans="1:11" x14ac:dyDescent="0.25">
      <c r="A8" s="1"/>
      <c r="J8" s="1"/>
    </row>
    <row r="9" spans="1:11" x14ac:dyDescent="0.25">
      <c r="A9" s="16" t="s">
        <v>30</v>
      </c>
      <c r="J9" s="1"/>
    </row>
    <row r="10" spans="1:11" x14ac:dyDescent="0.25">
      <c r="A10" s="1"/>
      <c r="B10" s="2" t="s">
        <v>2</v>
      </c>
      <c r="C10" s="1"/>
      <c r="D10" s="1"/>
      <c r="E10" s="2" t="s">
        <v>3</v>
      </c>
      <c r="J10" s="1"/>
    </row>
    <row r="11" spans="1:11" x14ac:dyDescent="0.25">
      <c r="A11" s="1"/>
      <c r="B11" s="1" t="s">
        <v>17</v>
      </c>
      <c r="C11" s="1"/>
      <c r="D11" s="1"/>
      <c r="E11" s="1" t="s">
        <v>18</v>
      </c>
      <c r="J11" s="1"/>
    </row>
    <row r="12" spans="1:11" x14ac:dyDescent="0.25">
      <c r="A12" s="1"/>
      <c r="B12" s="1" t="s">
        <v>72</v>
      </c>
      <c r="C12" s="1"/>
      <c r="D12" s="1"/>
      <c r="E12" s="1" t="s">
        <v>19</v>
      </c>
      <c r="J12" s="1"/>
    </row>
    <row r="13" spans="1:11" x14ac:dyDescent="0.25">
      <c r="A13" s="1"/>
      <c r="J13" s="1"/>
    </row>
    <row r="14" spans="1:11" x14ac:dyDescent="0.25">
      <c r="A14" s="17" t="s">
        <v>31</v>
      </c>
    </row>
    <row r="15" spans="1:11" x14ac:dyDescent="0.25">
      <c r="A15" s="1"/>
      <c r="B15" s="2" t="s">
        <v>4</v>
      </c>
      <c r="C15" s="2"/>
      <c r="D15" s="2"/>
      <c r="E15" s="2" t="s">
        <v>5</v>
      </c>
      <c r="H15" s="2" t="s">
        <v>25</v>
      </c>
      <c r="I15" s="2"/>
      <c r="J15" s="2"/>
      <c r="K15" s="2" t="s">
        <v>7</v>
      </c>
    </row>
    <row r="16" spans="1:11" x14ac:dyDescent="0.25">
      <c r="A16" s="1"/>
      <c r="B16" s="1" t="s">
        <v>20</v>
      </c>
      <c r="E16" s="1" t="s">
        <v>22</v>
      </c>
      <c r="H16" s="1" t="s">
        <v>26</v>
      </c>
      <c r="I16" s="1"/>
      <c r="J16" s="1"/>
      <c r="K16" s="1" t="s">
        <v>27</v>
      </c>
    </row>
    <row r="17" spans="1:5" x14ac:dyDescent="0.25">
      <c r="A17" s="1"/>
      <c r="B17" s="1" t="s">
        <v>21</v>
      </c>
      <c r="E17" s="1" t="s">
        <v>23</v>
      </c>
    </row>
    <row r="18" spans="1:5" x14ac:dyDescent="0.25">
      <c r="A18" s="1"/>
      <c r="E18" s="1" t="s">
        <v>24</v>
      </c>
    </row>
    <row r="19" spans="1:5" x14ac:dyDescent="0.25">
      <c r="A19" s="18" t="s">
        <v>32</v>
      </c>
    </row>
    <row r="20" spans="1:5" x14ac:dyDescent="0.25">
      <c r="B20" s="2" t="s">
        <v>6</v>
      </c>
    </row>
    <row r="21" spans="1:5" x14ac:dyDescent="0.25">
      <c r="B21" s="1" t="s">
        <v>28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710D8-357A-459C-9727-24A5087842B0}">
  <dimension ref="A1:M26"/>
  <sheetViews>
    <sheetView workbookViewId="0">
      <selection activeCell="A4" sqref="A4"/>
    </sheetView>
  </sheetViews>
  <sheetFormatPr defaultRowHeight="15" x14ac:dyDescent="0.25"/>
  <cols>
    <col min="1" max="1" width="53.28515625" bestFit="1" customWidth="1"/>
    <col min="2" max="2" width="14" bestFit="1" customWidth="1"/>
    <col min="3" max="3" width="10.85546875" bestFit="1" customWidth="1"/>
    <col min="4" max="4" width="15" bestFit="1" customWidth="1"/>
    <col min="6" max="6" width="9.85546875" bestFit="1" customWidth="1"/>
    <col min="11" max="11" width="16.28515625" bestFit="1" customWidth="1"/>
    <col min="12" max="13" width="16.42578125" bestFit="1" customWidth="1"/>
  </cols>
  <sheetData>
    <row r="1" spans="1:13" x14ac:dyDescent="0.25">
      <c r="A1" s="119" t="s">
        <v>116</v>
      </c>
    </row>
    <row r="2" spans="1:13" x14ac:dyDescent="0.25">
      <c r="B2" s="11" t="s">
        <v>93</v>
      </c>
      <c r="C2" s="11" t="s">
        <v>94</v>
      </c>
      <c r="D2" s="11" t="s">
        <v>95</v>
      </c>
      <c r="E2" s="11" t="s">
        <v>96</v>
      </c>
    </row>
    <row r="3" spans="1:13" x14ac:dyDescent="0.25">
      <c r="B3" s="7" t="s">
        <v>97</v>
      </c>
      <c r="C3" s="56">
        <v>0.27</v>
      </c>
      <c r="D3" s="56">
        <v>0.54</v>
      </c>
      <c r="E3" s="56">
        <v>0.44</v>
      </c>
    </row>
    <row r="4" spans="1:13" x14ac:dyDescent="0.25">
      <c r="B4" s="7" t="s">
        <v>41</v>
      </c>
      <c r="C4" s="56">
        <v>0.2</v>
      </c>
      <c r="D4" s="56">
        <v>0.15</v>
      </c>
      <c r="E4" s="56">
        <v>0.17</v>
      </c>
    </row>
    <row r="5" spans="1:13" x14ac:dyDescent="0.25">
      <c r="B5" s="7" t="s">
        <v>98</v>
      </c>
      <c r="C5" s="56">
        <v>0.19</v>
      </c>
      <c r="D5" s="56">
        <v>0.17</v>
      </c>
      <c r="E5" s="56">
        <v>0.16</v>
      </c>
    </row>
    <row r="6" spans="1:13" x14ac:dyDescent="0.25">
      <c r="B6" s="23"/>
      <c r="C6" s="24">
        <f>SUM(C3:C5)</f>
        <v>0.66</v>
      </c>
      <c r="D6" s="24">
        <f>SUM(D3:D5)</f>
        <v>0.8600000000000001</v>
      </c>
      <c r="E6" s="24">
        <f>SUM(E3:E5)</f>
        <v>0.77</v>
      </c>
    </row>
    <row r="8" spans="1:13" x14ac:dyDescent="0.25">
      <c r="A8" s="90" t="s">
        <v>106</v>
      </c>
      <c r="J8" s="23"/>
      <c r="K8" s="11" t="s">
        <v>101</v>
      </c>
      <c r="L8" s="11" t="s">
        <v>99</v>
      </c>
      <c r="M8" s="11" t="s">
        <v>100</v>
      </c>
    </row>
    <row r="9" spans="1:13" x14ac:dyDescent="0.25">
      <c r="B9" s="11" t="s">
        <v>102</v>
      </c>
      <c r="C9" s="11" t="s">
        <v>103</v>
      </c>
      <c r="D9" s="11" t="s">
        <v>104</v>
      </c>
      <c r="E9" s="11" t="s">
        <v>105</v>
      </c>
      <c r="F9" s="11" t="s">
        <v>115</v>
      </c>
      <c r="J9" s="92" t="s">
        <v>82</v>
      </c>
      <c r="K9" s="92">
        <v>182</v>
      </c>
      <c r="L9" s="92">
        <v>106</v>
      </c>
      <c r="M9" s="92">
        <v>123</v>
      </c>
    </row>
    <row r="10" spans="1:13" x14ac:dyDescent="0.25">
      <c r="A10" s="11" t="s">
        <v>94</v>
      </c>
      <c r="B10" s="91">
        <f>(3.52/100)*K9</f>
        <v>6.4064000000000005</v>
      </c>
      <c r="C10" s="91">
        <f>(78.63/100)*K9</f>
        <v>143.10659999999999</v>
      </c>
      <c r="D10" s="91">
        <f>(2.07/100)*K9</f>
        <v>3.7673999999999999</v>
      </c>
      <c r="E10" s="91">
        <f>(3.5/100)*K9</f>
        <v>6.370000000000001</v>
      </c>
      <c r="F10" s="91">
        <f>(12.29/100)*K9</f>
        <v>22.367799999999999</v>
      </c>
      <c r="H10" s="3">
        <f>SUM(B10:F10)</f>
        <v>182.01819999999998</v>
      </c>
    </row>
    <row r="11" spans="1:13" x14ac:dyDescent="0.25">
      <c r="A11" s="11" t="s">
        <v>95</v>
      </c>
      <c r="B11" s="91">
        <f>(2.75/100)*L9</f>
        <v>2.915</v>
      </c>
      <c r="C11" s="91">
        <f>(82.6/100)*L9</f>
        <v>87.555999999999997</v>
      </c>
      <c r="D11" s="91">
        <f>(0.71/100)*L9</f>
        <v>0.75259999999999994</v>
      </c>
      <c r="E11" s="91">
        <f>(1.2/100)*L9</f>
        <v>1.272</v>
      </c>
      <c r="F11" s="91">
        <f>(12.74/100)*L9</f>
        <v>13.504400000000002</v>
      </c>
      <c r="H11" s="3">
        <f>SUM(B11:F11)</f>
        <v>106.00000000000001</v>
      </c>
    </row>
    <row r="12" spans="1:13" x14ac:dyDescent="0.25">
      <c r="A12" s="11" t="s">
        <v>96</v>
      </c>
      <c r="B12" s="91">
        <f>(1.58/100)*M9</f>
        <v>1.9434000000000002</v>
      </c>
      <c r="C12" s="91">
        <f>(83.79/100)*M9</f>
        <v>103.06170000000002</v>
      </c>
      <c r="D12" s="91">
        <f>(0.57/100)*M9</f>
        <v>0.70109999999999995</v>
      </c>
      <c r="E12" s="91">
        <f>(0.97/100)*M9</f>
        <v>1.1931</v>
      </c>
      <c r="F12" s="91">
        <f>(13.1/100)*M9</f>
        <v>16.113</v>
      </c>
      <c r="H12" s="3">
        <f>SUM(B12:F12)</f>
        <v>123.01230000000001</v>
      </c>
    </row>
    <row r="15" spans="1:13" x14ac:dyDescent="0.25">
      <c r="A15" s="90" t="s">
        <v>107</v>
      </c>
    </row>
    <row r="16" spans="1:13" x14ac:dyDescent="0.25">
      <c r="B16" s="11" t="s">
        <v>102</v>
      </c>
      <c r="C16" s="11" t="s">
        <v>103</v>
      </c>
      <c r="D16" s="11" t="s">
        <v>104</v>
      </c>
      <c r="E16" s="11" t="s">
        <v>105</v>
      </c>
      <c r="F16" s="11" t="s">
        <v>115</v>
      </c>
      <c r="J16" s="23"/>
      <c r="K16" s="11" t="s">
        <v>109</v>
      </c>
      <c r="L16" s="11" t="s">
        <v>110</v>
      </c>
      <c r="M16" s="11" t="s">
        <v>111</v>
      </c>
    </row>
    <row r="17" spans="1:13" x14ac:dyDescent="0.25">
      <c r="A17" s="11" t="s">
        <v>94</v>
      </c>
      <c r="B17" s="91">
        <f>(3.52/100)*K17</f>
        <v>0.70400000000000007</v>
      </c>
      <c r="C17" s="91">
        <f>(78.67/100)*K17</f>
        <v>15.734000000000002</v>
      </c>
      <c r="D17" s="91">
        <f>(2.05/100)*K17</f>
        <v>0.40999999999999992</v>
      </c>
      <c r="E17" s="91">
        <f>(3.47/100)*K17</f>
        <v>0.69400000000000006</v>
      </c>
      <c r="F17" s="91">
        <f>(12.3/100)*K17</f>
        <v>2.4600000000000004</v>
      </c>
      <c r="H17" s="22">
        <f>SUM(B17:F17)</f>
        <v>20.002000000000002</v>
      </c>
      <c r="J17" s="92" t="s">
        <v>82</v>
      </c>
      <c r="K17" s="92">
        <v>20</v>
      </c>
      <c r="L17" s="92">
        <v>27</v>
      </c>
      <c r="M17" s="92">
        <v>63</v>
      </c>
    </row>
    <row r="18" spans="1:13" x14ac:dyDescent="0.25">
      <c r="A18" s="11" t="s">
        <v>95</v>
      </c>
      <c r="B18" s="91">
        <f>(2.76/100)*L17</f>
        <v>0.74519999999999997</v>
      </c>
      <c r="C18" s="91">
        <f>(82.9/100)*L17</f>
        <v>22.383000000000003</v>
      </c>
      <c r="D18" s="91">
        <f>(0.58/100)*L17</f>
        <v>0.15659999999999999</v>
      </c>
      <c r="E18" s="91">
        <f>(0.98/100)*L17</f>
        <v>0.2646</v>
      </c>
      <c r="F18" s="91">
        <f>(12.79/100)*L17</f>
        <v>3.4532999999999996</v>
      </c>
      <c r="H18" s="22">
        <f>SUM(B18:F18)</f>
        <v>27.002700000000004</v>
      </c>
    </row>
    <row r="19" spans="1:13" x14ac:dyDescent="0.25">
      <c r="A19" s="11" t="s">
        <v>96</v>
      </c>
      <c r="B19" s="91">
        <f>(1.58/100)*M17</f>
        <v>0.99540000000000006</v>
      </c>
      <c r="C19" s="91">
        <f>(84.09/100)*M17</f>
        <v>52.976700000000001</v>
      </c>
      <c r="D19" s="91">
        <f>(0.44/100)*M17</f>
        <v>0.2772</v>
      </c>
      <c r="E19" s="91">
        <f>(0.75/100)*M17</f>
        <v>0.47249999999999998</v>
      </c>
      <c r="F19" s="91">
        <f>(13.14/100)*M17</f>
        <v>8.2782000000000018</v>
      </c>
      <c r="H19" s="22">
        <f>SUM(B19:F19)</f>
        <v>63</v>
      </c>
    </row>
    <row r="22" spans="1:13" x14ac:dyDescent="0.25">
      <c r="A22" s="90" t="s">
        <v>108</v>
      </c>
    </row>
    <row r="23" spans="1:13" x14ac:dyDescent="0.25">
      <c r="B23" s="11" t="s">
        <v>102</v>
      </c>
      <c r="C23" s="11" t="s">
        <v>103</v>
      </c>
      <c r="D23" s="11" t="s">
        <v>104</v>
      </c>
      <c r="E23" s="11" t="s">
        <v>105</v>
      </c>
      <c r="F23" s="11" t="s">
        <v>115</v>
      </c>
      <c r="J23" s="23"/>
      <c r="K23" s="11" t="s">
        <v>112</v>
      </c>
      <c r="L23" s="11" t="s">
        <v>113</v>
      </c>
      <c r="M23" s="11" t="s">
        <v>114</v>
      </c>
    </row>
    <row r="24" spans="1:13" x14ac:dyDescent="0.25">
      <c r="A24" s="11" t="s">
        <v>94</v>
      </c>
      <c r="B24" s="93">
        <f>(3.52/100)*K24</f>
        <v>2.112E-2</v>
      </c>
      <c r="C24" s="93">
        <f>(78.67/100)*K24</f>
        <v>0.47202</v>
      </c>
      <c r="D24" s="93">
        <f>(2.05/100)*K24</f>
        <v>1.2299999999999998E-2</v>
      </c>
      <c r="E24" s="93">
        <f>(3.47/100)*K24</f>
        <v>2.0820000000000002E-2</v>
      </c>
      <c r="F24" s="93">
        <f>(12.3/100)*K24</f>
        <v>7.3800000000000004E-2</v>
      </c>
      <c r="H24" s="21">
        <f>SUM(B24:F24)</f>
        <v>0.60005999999999993</v>
      </c>
      <c r="J24" s="92" t="s">
        <v>82</v>
      </c>
      <c r="K24" s="92">
        <v>0.6</v>
      </c>
      <c r="L24" s="92">
        <v>1.8</v>
      </c>
      <c r="M24" s="92">
        <v>5.3</v>
      </c>
    </row>
    <row r="25" spans="1:13" x14ac:dyDescent="0.25">
      <c r="A25" s="11" t="s">
        <v>95</v>
      </c>
      <c r="B25" s="93">
        <f>(2.76/100)*L24</f>
        <v>4.9680000000000002E-2</v>
      </c>
      <c r="C25" s="93">
        <f>(82.9/100)*L24</f>
        <v>1.4922000000000002</v>
      </c>
      <c r="D25" s="93">
        <f>(0.58/100)*L24</f>
        <v>1.044E-2</v>
      </c>
      <c r="E25" s="93">
        <f>(0.98/100)*L24</f>
        <v>1.7639999999999999E-2</v>
      </c>
      <c r="F25" s="93">
        <f>(12.79/100)*L24</f>
        <v>0.23021999999999998</v>
      </c>
      <c r="H25" s="21">
        <f>SUM(B25:F25)</f>
        <v>1.8001800000000001</v>
      </c>
    </row>
    <row r="26" spans="1:13" x14ac:dyDescent="0.25">
      <c r="A26" s="11" t="s">
        <v>96</v>
      </c>
      <c r="B26" s="93">
        <f>(1.58/100)*M24</f>
        <v>8.3740000000000009E-2</v>
      </c>
      <c r="C26" s="93">
        <f>(84.09/100)*M24</f>
        <v>4.4567699999999997</v>
      </c>
      <c r="D26" s="93">
        <f>(0.44/100)*M24</f>
        <v>2.332E-2</v>
      </c>
      <c r="E26" s="93">
        <f>(0.75/100)*M24</f>
        <v>3.9750000000000001E-2</v>
      </c>
      <c r="F26" s="93">
        <f>(13.14/100)*M24</f>
        <v>0.69642000000000004</v>
      </c>
      <c r="H26" s="21">
        <f>SUM(B26:F26)</f>
        <v>5.2999999999999989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FE4F8-C38C-4CE2-B0D6-358FAEE63A75}">
  <dimension ref="A1:E170"/>
  <sheetViews>
    <sheetView workbookViewId="0">
      <selection activeCell="G25" sqref="G25"/>
    </sheetView>
  </sheetViews>
  <sheetFormatPr defaultRowHeight="15" x14ac:dyDescent="0.25"/>
  <cols>
    <col min="1" max="1" width="39.140625" bestFit="1" customWidth="1"/>
    <col min="2" max="2" width="36.42578125" bestFit="1" customWidth="1"/>
    <col min="3" max="4" width="29.42578125" bestFit="1" customWidth="1"/>
    <col min="5" max="5" width="16.42578125" bestFit="1" customWidth="1"/>
  </cols>
  <sheetData>
    <row r="1" spans="1:5" x14ac:dyDescent="0.25">
      <c r="A1" s="25" t="s">
        <v>399</v>
      </c>
    </row>
    <row r="2" spans="1:5" x14ac:dyDescent="0.25">
      <c r="A2" s="76" t="s">
        <v>287</v>
      </c>
      <c r="B2" s="82" t="s">
        <v>288</v>
      </c>
      <c r="C2" s="82" t="s">
        <v>387</v>
      </c>
      <c r="D2" s="82" t="s">
        <v>289</v>
      </c>
      <c r="E2" s="82" t="s">
        <v>387</v>
      </c>
    </row>
    <row r="3" spans="1:5" x14ac:dyDescent="0.25">
      <c r="A3" s="151" t="s">
        <v>290</v>
      </c>
      <c r="B3" s="7" t="s">
        <v>291</v>
      </c>
      <c r="C3" s="7" t="s">
        <v>390</v>
      </c>
      <c r="D3" s="7" t="s">
        <v>158</v>
      </c>
      <c r="E3" s="7" t="s">
        <v>390</v>
      </c>
    </row>
    <row r="4" spans="1:5" x14ac:dyDescent="0.25">
      <c r="A4" s="152"/>
      <c r="B4" s="7" t="s">
        <v>292</v>
      </c>
      <c r="C4" s="7" t="s">
        <v>388</v>
      </c>
      <c r="D4" s="7" t="s">
        <v>299</v>
      </c>
      <c r="E4" s="7" t="s">
        <v>390</v>
      </c>
    </row>
    <row r="5" spans="1:5" x14ac:dyDescent="0.25">
      <c r="A5" s="152"/>
      <c r="B5" s="7" t="s">
        <v>293</v>
      </c>
      <c r="C5" s="7" t="s">
        <v>129</v>
      </c>
      <c r="D5" s="7" t="s">
        <v>300</v>
      </c>
      <c r="E5" s="7" t="s">
        <v>390</v>
      </c>
    </row>
    <row r="6" spans="1:5" x14ac:dyDescent="0.25">
      <c r="A6" s="152"/>
      <c r="B6" s="7" t="s">
        <v>294</v>
      </c>
      <c r="C6" s="7" t="s">
        <v>389</v>
      </c>
      <c r="D6" s="7" t="s">
        <v>301</v>
      </c>
      <c r="E6" s="7" t="s">
        <v>390</v>
      </c>
    </row>
    <row r="7" spans="1:5" x14ac:dyDescent="0.25">
      <c r="A7" s="152"/>
      <c r="B7" s="7" t="s">
        <v>295</v>
      </c>
      <c r="C7" s="7" t="s">
        <v>389</v>
      </c>
      <c r="D7" s="7" t="s">
        <v>302</v>
      </c>
      <c r="E7" s="7" t="s">
        <v>390</v>
      </c>
    </row>
    <row r="8" spans="1:5" x14ac:dyDescent="0.25">
      <c r="A8" s="152"/>
      <c r="B8" s="7" t="s">
        <v>296</v>
      </c>
      <c r="C8" s="7" t="s">
        <v>389</v>
      </c>
      <c r="D8" s="7" t="s">
        <v>303</v>
      </c>
      <c r="E8" s="7" t="s">
        <v>390</v>
      </c>
    </row>
    <row r="9" spans="1:5" x14ac:dyDescent="0.25">
      <c r="A9" s="152"/>
      <c r="B9" s="7" t="s">
        <v>298</v>
      </c>
      <c r="C9" s="7" t="s">
        <v>389</v>
      </c>
    </row>
    <row r="10" spans="1:5" x14ac:dyDescent="0.25">
      <c r="A10" s="153"/>
      <c r="B10" s="7" t="s">
        <v>297</v>
      </c>
      <c r="C10" s="7" t="s">
        <v>389</v>
      </c>
    </row>
    <row r="12" spans="1:5" x14ac:dyDescent="0.25">
      <c r="A12" s="151" t="s">
        <v>304</v>
      </c>
      <c r="B12" s="77" t="s">
        <v>391</v>
      </c>
      <c r="C12" s="77" t="s">
        <v>390</v>
      </c>
      <c r="D12" s="7" t="s">
        <v>305</v>
      </c>
      <c r="E12" s="7" t="s">
        <v>390</v>
      </c>
    </row>
    <row r="13" spans="1:5" x14ac:dyDescent="0.25">
      <c r="A13" s="152"/>
      <c r="B13" s="77" t="s">
        <v>293</v>
      </c>
      <c r="C13" s="77" t="s">
        <v>129</v>
      </c>
      <c r="D13" s="7" t="s">
        <v>306</v>
      </c>
      <c r="E13" s="7" t="s">
        <v>390</v>
      </c>
    </row>
    <row r="14" spans="1:5" x14ac:dyDescent="0.25">
      <c r="A14" s="152"/>
      <c r="B14" s="77" t="s">
        <v>425</v>
      </c>
      <c r="C14" s="77" t="s">
        <v>390</v>
      </c>
      <c r="D14" s="7" t="s">
        <v>307</v>
      </c>
      <c r="E14" s="7" t="s">
        <v>390</v>
      </c>
    </row>
    <row r="15" spans="1:5" x14ac:dyDescent="0.25">
      <c r="A15" s="152"/>
      <c r="B15" s="77" t="s">
        <v>427</v>
      </c>
      <c r="C15" s="77" t="s">
        <v>390</v>
      </c>
      <c r="D15" s="7" t="s">
        <v>308</v>
      </c>
      <c r="E15" s="7" t="s">
        <v>390</v>
      </c>
    </row>
    <row r="16" spans="1:5" x14ac:dyDescent="0.25">
      <c r="A16" s="153"/>
      <c r="B16" s="77" t="s">
        <v>426</v>
      </c>
      <c r="C16" s="77" t="s">
        <v>390</v>
      </c>
      <c r="D16" s="7" t="s">
        <v>309</v>
      </c>
      <c r="E16" s="7" t="s">
        <v>390</v>
      </c>
    </row>
    <row r="17" spans="1:5" x14ac:dyDescent="0.25">
      <c r="B17" s="77" t="s">
        <v>447</v>
      </c>
      <c r="C17" s="77" t="s">
        <v>390</v>
      </c>
    </row>
    <row r="18" spans="1:5" x14ac:dyDescent="0.25">
      <c r="A18" s="151" t="s">
        <v>446</v>
      </c>
      <c r="B18" s="154" t="s">
        <v>310</v>
      </c>
      <c r="C18" s="154" t="s">
        <v>141</v>
      </c>
      <c r="D18" s="7" t="s">
        <v>311</v>
      </c>
      <c r="E18" s="7" t="s">
        <v>141</v>
      </c>
    </row>
    <row r="19" spans="1:5" x14ac:dyDescent="0.25">
      <c r="A19" s="152"/>
      <c r="B19" s="154"/>
      <c r="C19" s="154"/>
      <c r="D19" s="7" t="s">
        <v>312</v>
      </c>
      <c r="E19" s="7" t="s">
        <v>141</v>
      </c>
    </row>
    <row r="20" spans="1:5" x14ac:dyDescent="0.25">
      <c r="A20" s="152"/>
      <c r="B20" s="154"/>
      <c r="C20" s="154"/>
      <c r="D20" s="7" t="s">
        <v>313</v>
      </c>
      <c r="E20" s="7" t="s">
        <v>141</v>
      </c>
    </row>
    <row r="21" spans="1:5" x14ac:dyDescent="0.25">
      <c r="A21" s="152"/>
      <c r="B21" s="154"/>
      <c r="C21" s="154"/>
      <c r="D21" s="7" t="s">
        <v>314</v>
      </c>
      <c r="E21" s="7" t="s">
        <v>141</v>
      </c>
    </row>
    <row r="22" spans="1:5" x14ac:dyDescent="0.25">
      <c r="A22" s="152"/>
      <c r="B22" s="154"/>
      <c r="C22" s="154"/>
      <c r="D22" s="7" t="s">
        <v>315</v>
      </c>
      <c r="E22" s="7" t="s">
        <v>141</v>
      </c>
    </row>
    <row r="23" spans="1:5" x14ac:dyDescent="0.25">
      <c r="A23" s="152"/>
      <c r="B23" s="154"/>
      <c r="C23" s="154"/>
      <c r="D23" s="7" t="s">
        <v>316</v>
      </c>
      <c r="E23" s="7" t="s">
        <v>141</v>
      </c>
    </row>
    <row r="24" spans="1:5" x14ac:dyDescent="0.25">
      <c r="A24" s="153"/>
      <c r="B24" s="154"/>
      <c r="C24" s="154"/>
      <c r="D24" s="7" t="s">
        <v>317</v>
      </c>
      <c r="E24" s="7" t="s">
        <v>141</v>
      </c>
    </row>
    <row r="26" spans="1:5" x14ac:dyDescent="0.25">
      <c r="A26" s="151" t="s">
        <v>318</v>
      </c>
      <c r="B26" s="7" t="s">
        <v>310</v>
      </c>
      <c r="C26" s="7" t="s">
        <v>141</v>
      </c>
      <c r="D26" s="7" t="s">
        <v>324</v>
      </c>
      <c r="E26" s="7" t="s">
        <v>141</v>
      </c>
    </row>
    <row r="27" spans="1:5" x14ac:dyDescent="0.25">
      <c r="A27" s="152"/>
      <c r="B27" s="7" t="s">
        <v>319</v>
      </c>
      <c r="C27" s="7" t="s">
        <v>389</v>
      </c>
      <c r="D27" s="7" t="s">
        <v>325</v>
      </c>
      <c r="E27" s="7" t="s">
        <v>141</v>
      </c>
    </row>
    <row r="28" spans="1:5" x14ac:dyDescent="0.25">
      <c r="A28" s="152"/>
      <c r="B28" s="7" t="s">
        <v>320</v>
      </c>
      <c r="C28" s="7" t="s">
        <v>389</v>
      </c>
      <c r="D28" s="7" t="s">
        <v>326</v>
      </c>
      <c r="E28" s="7" t="s">
        <v>141</v>
      </c>
    </row>
    <row r="29" spans="1:5" x14ac:dyDescent="0.25">
      <c r="A29" s="152"/>
      <c r="B29" s="7" t="s">
        <v>321</v>
      </c>
      <c r="C29" s="7" t="s">
        <v>389</v>
      </c>
      <c r="D29" s="7" t="s">
        <v>327</v>
      </c>
      <c r="E29" s="7" t="s">
        <v>141</v>
      </c>
    </row>
    <row r="30" spans="1:5" x14ac:dyDescent="0.25">
      <c r="A30" s="152"/>
      <c r="B30" s="7" t="s">
        <v>322</v>
      </c>
      <c r="C30" s="7" t="s">
        <v>389</v>
      </c>
      <c r="D30" s="7" t="s">
        <v>328</v>
      </c>
      <c r="E30" s="7" t="s">
        <v>141</v>
      </c>
    </row>
    <row r="31" spans="1:5" x14ac:dyDescent="0.25">
      <c r="A31" s="153"/>
      <c r="B31" s="7" t="s">
        <v>323</v>
      </c>
      <c r="C31" s="7" t="s">
        <v>389</v>
      </c>
    </row>
    <row r="33" spans="1:5" x14ac:dyDescent="0.25">
      <c r="A33" s="155" t="s">
        <v>329</v>
      </c>
      <c r="B33" s="7" t="s">
        <v>324</v>
      </c>
      <c r="C33" s="7" t="s">
        <v>141</v>
      </c>
      <c r="D33" s="7" t="s">
        <v>336</v>
      </c>
      <c r="E33" s="7" t="s">
        <v>393</v>
      </c>
    </row>
    <row r="34" spans="1:5" x14ac:dyDescent="0.25">
      <c r="A34" s="156"/>
      <c r="B34" s="7" t="s">
        <v>325</v>
      </c>
      <c r="C34" s="7" t="s">
        <v>141</v>
      </c>
      <c r="D34" s="7" t="s">
        <v>337</v>
      </c>
      <c r="E34" s="7" t="s">
        <v>393</v>
      </c>
    </row>
    <row r="35" spans="1:5" x14ac:dyDescent="0.25">
      <c r="A35" s="156"/>
      <c r="B35" s="7" t="s">
        <v>326</v>
      </c>
      <c r="C35" s="7" t="s">
        <v>141</v>
      </c>
      <c r="D35" s="7" t="s">
        <v>338</v>
      </c>
      <c r="E35" s="7" t="s">
        <v>393</v>
      </c>
    </row>
    <row r="36" spans="1:5" x14ac:dyDescent="0.25">
      <c r="A36" s="156"/>
      <c r="B36" s="7" t="s">
        <v>327</v>
      </c>
      <c r="C36" s="7" t="s">
        <v>141</v>
      </c>
      <c r="D36" s="7" t="s">
        <v>339</v>
      </c>
      <c r="E36" s="7" t="s">
        <v>393</v>
      </c>
    </row>
    <row r="37" spans="1:5" x14ac:dyDescent="0.25">
      <c r="A37" s="156"/>
      <c r="B37" s="7" t="s">
        <v>328</v>
      </c>
      <c r="C37" s="7" t="s">
        <v>141</v>
      </c>
      <c r="D37" s="7" t="s">
        <v>340</v>
      </c>
      <c r="E37" s="7" t="s">
        <v>393</v>
      </c>
    </row>
    <row r="38" spans="1:5" x14ac:dyDescent="0.25">
      <c r="A38" s="156"/>
      <c r="B38" s="7" t="s">
        <v>330</v>
      </c>
      <c r="C38" s="7" t="s">
        <v>392</v>
      </c>
      <c r="D38" s="80" t="s">
        <v>341</v>
      </c>
      <c r="E38" s="7" t="s">
        <v>393</v>
      </c>
    </row>
    <row r="39" spans="1:5" x14ac:dyDescent="0.25">
      <c r="A39" s="156"/>
      <c r="B39" s="7" t="s">
        <v>331</v>
      </c>
      <c r="C39" s="7" t="s">
        <v>392</v>
      </c>
    </row>
    <row r="40" spans="1:5" x14ac:dyDescent="0.25">
      <c r="A40" s="156"/>
      <c r="B40" s="7" t="s">
        <v>332</v>
      </c>
      <c r="C40" s="7" t="s">
        <v>392</v>
      </c>
    </row>
    <row r="41" spans="1:5" x14ac:dyDescent="0.25">
      <c r="A41" s="156"/>
      <c r="B41" s="7" t="s">
        <v>335</v>
      </c>
      <c r="C41" s="7" t="s">
        <v>392</v>
      </c>
    </row>
    <row r="42" spans="1:5" x14ac:dyDescent="0.25">
      <c r="A42" s="156"/>
      <c r="B42" s="7" t="s">
        <v>333</v>
      </c>
      <c r="C42" s="7" t="s">
        <v>392</v>
      </c>
    </row>
    <row r="43" spans="1:5" x14ac:dyDescent="0.25">
      <c r="A43" s="156"/>
      <c r="B43" s="7" t="s">
        <v>334</v>
      </c>
      <c r="C43" s="7" t="s">
        <v>392</v>
      </c>
    </row>
    <row r="44" spans="1:5" x14ac:dyDescent="0.25">
      <c r="A44" s="156"/>
      <c r="B44" s="7" t="s">
        <v>394</v>
      </c>
      <c r="C44" s="7" t="s">
        <v>389</v>
      </c>
    </row>
    <row r="45" spans="1:5" x14ac:dyDescent="0.25">
      <c r="A45" s="156"/>
      <c r="B45" s="7" t="s">
        <v>396</v>
      </c>
      <c r="C45" s="7" t="s">
        <v>389</v>
      </c>
    </row>
    <row r="46" spans="1:5" x14ac:dyDescent="0.25">
      <c r="A46" s="157"/>
      <c r="B46" s="7" t="s">
        <v>395</v>
      </c>
      <c r="C46" s="7" t="s">
        <v>389</v>
      </c>
    </row>
    <row r="48" spans="1:5" x14ac:dyDescent="0.25">
      <c r="A48" s="148" t="s">
        <v>378</v>
      </c>
      <c r="B48" s="7" t="s">
        <v>291</v>
      </c>
      <c r="C48" s="7" t="s">
        <v>390</v>
      </c>
      <c r="D48" s="7" t="s">
        <v>397</v>
      </c>
    </row>
    <row r="49" spans="1:5" x14ac:dyDescent="0.25">
      <c r="A49" s="149"/>
      <c r="B49" s="7" t="s">
        <v>292</v>
      </c>
      <c r="C49" s="7" t="s">
        <v>388</v>
      </c>
    </row>
    <row r="50" spans="1:5" x14ac:dyDescent="0.25">
      <c r="A50" s="149"/>
      <c r="B50" s="7" t="s">
        <v>293</v>
      </c>
      <c r="C50" s="7" t="s">
        <v>129</v>
      </c>
    </row>
    <row r="51" spans="1:5" x14ac:dyDescent="0.25">
      <c r="A51" s="150"/>
      <c r="B51" s="7" t="s">
        <v>310</v>
      </c>
      <c r="C51" s="7" t="s">
        <v>141</v>
      </c>
    </row>
    <row r="57" spans="1:5" x14ac:dyDescent="0.25">
      <c r="A57" s="25" t="s">
        <v>382</v>
      </c>
    </row>
    <row r="58" spans="1:5" x14ac:dyDescent="0.25">
      <c r="A58" s="82" t="s">
        <v>287</v>
      </c>
      <c r="B58" s="82" t="s">
        <v>288</v>
      </c>
      <c r="C58" s="82" t="s">
        <v>398</v>
      </c>
      <c r="D58" s="82" t="s">
        <v>289</v>
      </c>
      <c r="E58" s="82" t="s">
        <v>398</v>
      </c>
    </row>
    <row r="60" spans="1:5" x14ac:dyDescent="0.25">
      <c r="A60" s="73" t="s">
        <v>342</v>
      </c>
      <c r="B60" s="74" t="s">
        <v>343</v>
      </c>
      <c r="D60" s="74" t="s">
        <v>344</v>
      </c>
    </row>
    <row r="61" spans="1:5" x14ac:dyDescent="0.25">
      <c r="A61" s="12"/>
    </row>
    <row r="62" spans="1:5" x14ac:dyDescent="0.25">
      <c r="A62" s="73" t="s">
        <v>345</v>
      </c>
      <c r="B62" s="74" t="s">
        <v>130</v>
      </c>
      <c r="D62" s="74" t="s">
        <v>141</v>
      </c>
    </row>
    <row r="63" spans="1:5" x14ac:dyDescent="0.25">
      <c r="A63" s="12"/>
    </row>
    <row r="64" spans="1:5" x14ac:dyDescent="0.25">
      <c r="A64" s="148" t="s">
        <v>346</v>
      </c>
      <c r="B64" s="7" t="s">
        <v>347</v>
      </c>
      <c r="C64" s="7" t="s">
        <v>130</v>
      </c>
      <c r="D64" s="80" t="s">
        <v>358</v>
      </c>
      <c r="E64" s="7" t="s">
        <v>401</v>
      </c>
    </row>
    <row r="65" spans="1:5" x14ac:dyDescent="0.25">
      <c r="A65" s="149"/>
      <c r="B65" s="7" t="s">
        <v>348</v>
      </c>
      <c r="C65" s="7" t="s">
        <v>129</v>
      </c>
      <c r="D65" s="80" t="s">
        <v>359</v>
      </c>
      <c r="E65" s="7" t="s">
        <v>401</v>
      </c>
    </row>
    <row r="66" spans="1:5" x14ac:dyDescent="0.25">
      <c r="A66" s="149"/>
      <c r="B66" s="7" t="s">
        <v>349</v>
      </c>
      <c r="C66" s="7" t="s">
        <v>400</v>
      </c>
      <c r="D66" s="80" t="s">
        <v>360</v>
      </c>
      <c r="E66" s="7" t="s">
        <v>401</v>
      </c>
    </row>
    <row r="67" spans="1:5" x14ac:dyDescent="0.25">
      <c r="A67" s="149"/>
      <c r="B67" s="7" t="s">
        <v>350</v>
      </c>
      <c r="C67" s="7" t="s">
        <v>120</v>
      </c>
      <c r="D67" s="80" t="s">
        <v>361</v>
      </c>
      <c r="E67" s="7" t="s">
        <v>401</v>
      </c>
    </row>
    <row r="68" spans="1:5" x14ac:dyDescent="0.25">
      <c r="A68" s="149"/>
      <c r="B68" s="7" t="s">
        <v>351</v>
      </c>
      <c r="C68" s="7" t="s">
        <v>389</v>
      </c>
      <c r="D68" s="80" t="s">
        <v>362</v>
      </c>
      <c r="E68" s="7" t="s">
        <v>401</v>
      </c>
    </row>
    <row r="69" spans="1:5" x14ac:dyDescent="0.25">
      <c r="A69" s="149"/>
      <c r="B69" s="7" t="s">
        <v>352</v>
      </c>
      <c r="C69" s="7" t="s">
        <v>389</v>
      </c>
      <c r="D69" s="80" t="s">
        <v>363</v>
      </c>
      <c r="E69" s="7" t="s">
        <v>401</v>
      </c>
    </row>
    <row r="70" spans="1:5" x14ac:dyDescent="0.25">
      <c r="A70" s="149"/>
      <c r="B70" s="7" t="s">
        <v>353</v>
      </c>
      <c r="C70" s="7" t="s">
        <v>389</v>
      </c>
      <c r="D70" s="80" t="s">
        <v>364</v>
      </c>
      <c r="E70" s="7" t="s">
        <v>401</v>
      </c>
    </row>
    <row r="71" spans="1:5" x14ac:dyDescent="0.25">
      <c r="A71" s="149"/>
      <c r="B71" s="7" t="s">
        <v>354</v>
      </c>
      <c r="C71" s="7" t="s">
        <v>389</v>
      </c>
      <c r="D71" s="80" t="s">
        <v>365</v>
      </c>
      <c r="E71" s="7" t="s">
        <v>401</v>
      </c>
    </row>
    <row r="72" spans="1:5" x14ac:dyDescent="0.25">
      <c r="A72" s="149"/>
      <c r="B72" s="7" t="s">
        <v>355</v>
      </c>
      <c r="C72" s="7" t="s">
        <v>389</v>
      </c>
    </row>
    <row r="73" spans="1:5" x14ac:dyDescent="0.25">
      <c r="A73" s="149"/>
      <c r="B73" s="7" t="s">
        <v>356</v>
      </c>
      <c r="C73" s="7" t="s">
        <v>389</v>
      </c>
    </row>
    <row r="74" spans="1:5" x14ac:dyDescent="0.25">
      <c r="A74" s="150"/>
      <c r="B74" s="7" t="s">
        <v>357</v>
      </c>
      <c r="C74" s="7" t="s">
        <v>389</v>
      </c>
    </row>
    <row r="76" spans="1:5" x14ac:dyDescent="0.25">
      <c r="A76" s="148" t="s">
        <v>366</v>
      </c>
      <c r="B76" s="7" t="s">
        <v>347</v>
      </c>
      <c r="C76" s="7" t="s">
        <v>130</v>
      </c>
      <c r="D76" s="80" t="s">
        <v>371</v>
      </c>
      <c r="E76" s="7" t="s">
        <v>121</v>
      </c>
    </row>
    <row r="77" spans="1:5" x14ac:dyDescent="0.25">
      <c r="A77" s="149"/>
      <c r="B77" s="7" t="s">
        <v>351</v>
      </c>
      <c r="C77" s="7" t="s">
        <v>389</v>
      </c>
      <c r="D77" s="80" t="s">
        <v>372</v>
      </c>
      <c r="E77" s="7" t="s">
        <v>121</v>
      </c>
    </row>
    <row r="78" spans="1:5" x14ac:dyDescent="0.25">
      <c r="A78" s="149"/>
      <c r="B78" s="7" t="s">
        <v>352</v>
      </c>
      <c r="C78" s="7" t="s">
        <v>389</v>
      </c>
      <c r="D78" s="80" t="s">
        <v>373</v>
      </c>
      <c r="E78" s="7" t="s">
        <v>121</v>
      </c>
    </row>
    <row r="79" spans="1:5" x14ac:dyDescent="0.25">
      <c r="A79" s="149"/>
      <c r="B79" s="7" t="s">
        <v>353</v>
      </c>
      <c r="C79" s="7" t="s">
        <v>389</v>
      </c>
      <c r="D79" s="80" t="s">
        <v>374</v>
      </c>
      <c r="E79" s="7" t="s">
        <v>121</v>
      </c>
    </row>
    <row r="80" spans="1:5" x14ac:dyDescent="0.25">
      <c r="A80" s="149"/>
      <c r="B80" s="7" t="s">
        <v>367</v>
      </c>
      <c r="C80" s="7" t="s">
        <v>389</v>
      </c>
      <c r="D80" s="80" t="s">
        <v>375</v>
      </c>
      <c r="E80" s="7" t="s">
        <v>121</v>
      </c>
    </row>
    <row r="81" spans="1:5" x14ac:dyDescent="0.25">
      <c r="A81" s="149"/>
      <c r="B81" s="7" t="s">
        <v>355</v>
      </c>
      <c r="C81" s="7" t="s">
        <v>389</v>
      </c>
      <c r="D81" s="80" t="s">
        <v>376</v>
      </c>
      <c r="E81" s="7" t="s">
        <v>121</v>
      </c>
    </row>
    <row r="82" spans="1:5" x14ac:dyDescent="0.25">
      <c r="A82" s="149"/>
      <c r="B82" s="7" t="s">
        <v>356</v>
      </c>
      <c r="C82" s="7" t="s">
        <v>389</v>
      </c>
      <c r="D82" s="80" t="s">
        <v>377</v>
      </c>
      <c r="E82" s="7" t="s">
        <v>121</v>
      </c>
    </row>
    <row r="83" spans="1:5" x14ac:dyDescent="0.25">
      <c r="A83" s="149"/>
      <c r="B83" s="7" t="s">
        <v>357</v>
      </c>
      <c r="C83" s="7" t="s">
        <v>389</v>
      </c>
    </row>
    <row r="84" spans="1:5" x14ac:dyDescent="0.25">
      <c r="A84" s="149"/>
      <c r="B84" s="7" t="s">
        <v>369</v>
      </c>
      <c r="C84" s="7" t="s">
        <v>157</v>
      </c>
    </row>
    <row r="85" spans="1:5" x14ac:dyDescent="0.25">
      <c r="A85" s="149"/>
      <c r="B85" s="7" t="s">
        <v>370</v>
      </c>
      <c r="C85" s="7" t="s">
        <v>157</v>
      </c>
    </row>
    <row r="86" spans="1:5" x14ac:dyDescent="0.25">
      <c r="A86" s="150"/>
      <c r="B86" s="7" t="s">
        <v>368</v>
      </c>
      <c r="C86" s="7" t="s">
        <v>157</v>
      </c>
    </row>
    <row r="87" spans="1:5" x14ac:dyDescent="0.25">
      <c r="B87" s="7" t="s">
        <v>384</v>
      </c>
      <c r="C87" s="7" t="s">
        <v>389</v>
      </c>
    </row>
    <row r="88" spans="1:5" x14ac:dyDescent="0.25">
      <c r="B88" s="7" t="s">
        <v>385</v>
      </c>
      <c r="C88" s="7" t="s">
        <v>389</v>
      </c>
    </row>
    <row r="89" spans="1:5" x14ac:dyDescent="0.25">
      <c r="B89" s="7" t="s">
        <v>386</v>
      </c>
      <c r="C89" s="7" t="s">
        <v>389</v>
      </c>
    </row>
    <row r="91" spans="1:5" x14ac:dyDescent="0.25">
      <c r="A91" s="148" t="s">
        <v>378</v>
      </c>
      <c r="B91" s="7" t="s">
        <v>347</v>
      </c>
      <c r="C91" s="7" t="s">
        <v>130</v>
      </c>
      <c r="D91" s="145" t="s">
        <v>381</v>
      </c>
    </row>
    <row r="92" spans="1:5" x14ac:dyDescent="0.25">
      <c r="A92" s="149"/>
      <c r="B92" s="7" t="s">
        <v>379</v>
      </c>
      <c r="C92" s="7" t="s">
        <v>129</v>
      </c>
      <c r="D92" s="146"/>
    </row>
    <row r="93" spans="1:5" x14ac:dyDescent="0.25">
      <c r="A93" s="149"/>
      <c r="B93" s="7" t="s">
        <v>349</v>
      </c>
      <c r="C93" s="7" t="s">
        <v>443</v>
      </c>
      <c r="D93" s="146"/>
    </row>
    <row r="94" spans="1:5" x14ac:dyDescent="0.25">
      <c r="A94" s="149"/>
      <c r="B94" s="7" t="s">
        <v>380</v>
      </c>
      <c r="C94" s="7" t="s">
        <v>445</v>
      </c>
      <c r="D94" s="146"/>
    </row>
    <row r="95" spans="1:5" x14ac:dyDescent="0.25">
      <c r="A95" s="150"/>
      <c r="B95" s="7" t="s">
        <v>119</v>
      </c>
      <c r="C95" s="7" t="s">
        <v>120</v>
      </c>
      <c r="D95" s="147"/>
    </row>
    <row r="101" spans="1:5" x14ac:dyDescent="0.25">
      <c r="A101" s="25" t="s">
        <v>402</v>
      </c>
    </row>
    <row r="102" spans="1:5" x14ac:dyDescent="0.25">
      <c r="A102" s="82" t="s">
        <v>287</v>
      </c>
      <c r="B102" s="82" t="s">
        <v>288</v>
      </c>
      <c r="C102" s="82" t="s">
        <v>398</v>
      </c>
      <c r="D102" s="82" t="s">
        <v>289</v>
      </c>
      <c r="E102" s="82" t="s">
        <v>398</v>
      </c>
    </row>
    <row r="103" spans="1:5" x14ac:dyDescent="0.25">
      <c r="A103" s="148" t="s">
        <v>403</v>
      </c>
      <c r="B103" s="7" t="s">
        <v>347</v>
      </c>
      <c r="C103" s="7" t="s">
        <v>130</v>
      </c>
      <c r="D103" s="7" t="s">
        <v>317</v>
      </c>
      <c r="E103" s="7" t="s">
        <v>130</v>
      </c>
    </row>
    <row r="104" spans="1:5" x14ac:dyDescent="0.25">
      <c r="A104" s="149"/>
      <c r="B104" s="7" t="s">
        <v>379</v>
      </c>
      <c r="C104" s="7" t="s">
        <v>129</v>
      </c>
      <c r="D104" s="7" t="s">
        <v>358</v>
      </c>
      <c r="E104" s="7" t="s">
        <v>401</v>
      </c>
    </row>
    <row r="105" spans="1:5" x14ac:dyDescent="0.25">
      <c r="A105" s="149"/>
      <c r="B105" s="7" t="s">
        <v>422</v>
      </c>
      <c r="C105" s="7" t="s">
        <v>400</v>
      </c>
      <c r="D105" s="7" t="s">
        <v>359</v>
      </c>
      <c r="E105" s="7" t="s">
        <v>401</v>
      </c>
    </row>
    <row r="106" spans="1:5" x14ac:dyDescent="0.25">
      <c r="A106" s="149"/>
      <c r="B106" s="7" t="s">
        <v>119</v>
      </c>
      <c r="C106" s="7" t="s">
        <v>120</v>
      </c>
    </row>
    <row r="107" spans="1:5" x14ac:dyDescent="0.25">
      <c r="A107" s="150"/>
      <c r="B107" s="7" t="s">
        <v>404</v>
      </c>
      <c r="C107" s="7" t="s">
        <v>389</v>
      </c>
    </row>
    <row r="109" spans="1:5" x14ac:dyDescent="0.25">
      <c r="A109" s="158" t="s">
        <v>405</v>
      </c>
      <c r="B109" s="7" t="s">
        <v>347</v>
      </c>
      <c r="C109" s="7" t="s">
        <v>130</v>
      </c>
      <c r="D109" s="7" t="s">
        <v>406</v>
      </c>
      <c r="E109" s="7" t="s">
        <v>121</v>
      </c>
    </row>
    <row r="110" spans="1:5" x14ac:dyDescent="0.25">
      <c r="A110" s="158"/>
      <c r="B110" s="7" t="s">
        <v>351</v>
      </c>
      <c r="C110" s="7" t="s">
        <v>389</v>
      </c>
    </row>
    <row r="111" spans="1:5" x14ac:dyDescent="0.25">
      <c r="A111" s="158"/>
      <c r="B111" s="7" t="s">
        <v>317</v>
      </c>
      <c r="C111" s="7" t="s">
        <v>130</v>
      </c>
    </row>
    <row r="112" spans="1:5" x14ac:dyDescent="0.25">
      <c r="A112" s="158"/>
      <c r="B112" s="7" t="s">
        <v>384</v>
      </c>
      <c r="C112" s="7" t="s">
        <v>389</v>
      </c>
    </row>
    <row r="113" spans="1:5" x14ac:dyDescent="0.25">
      <c r="A113" s="158"/>
      <c r="B113" s="7" t="s">
        <v>385</v>
      </c>
      <c r="C113" s="7" t="s">
        <v>389</v>
      </c>
    </row>
    <row r="114" spans="1:5" x14ac:dyDescent="0.25">
      <c r="A114" s="158"/>
      <c r="B114" s="7" t="s">
        <v>386</v>
      </c>
      <c r="C114" s="7" t="s">
        <v>389</v>
      </c>
    </row>
    <row r="115" spans="1:5" x14ac:dyDescent="0.25">
      <c r="A115" s="158"/>
      <c r="B115" s="7" t="s">
        <v>369</v>
      </c>
      <c r="C115" s="7" t="s">
        <v>157</v>
      </c>
    </row>
    <row r="116" spans="1:5" x14ac:dyDescent="0.25">
      <c r="A116" s="158"/>
      <c r="B116" s="7" t="s">
        <v>370</v>
      </c>
      <c r="C116" s="7" t="s">
        <v>157</v>
      </c>
    </row>
    <row r="117" spans="1:5" x14ac:dyDescent="0.25">
      <c r="A117" s="158"/>
      <c r="B117" s="7" t="s">
        <v>368</v>
      </c>
      <c r="C117" s="7" t="s">
        <v>157</v>
      </c>
    </row>
    <row r="119" spans="1:5" x14ac:dyDescent="0.25">
      <c r="A119" s="148" t="s">
        <v>407</v>
      </c>
      <c r="B119" s="7" t="s">
        <v>347</v>
      </c>
      <c r="C119" s="7" t="s">
        <v>130</v>
      </c>
      <c r="D119" s="7" t="s">
        <v>359</v>
      </c>
      <c r="E119" s="7" t="s">
        <v>401</v>
      </c>
    </row>
    <row r="120" spans="1:5" x14ac:dyDescent="0.25">
      <c r="A120" s="149"/>
      <c r="B120" s="7" t="s">
        <v>379</v>
      </c>
      <c r="C120" s="7" t="s">
        <v>129</v>
      </c>
    </row>
    <row r="121" spans="1:5" x14ac:dyDescent="0.25">
      <c r="A121" s="149"/>
      <c r="B121" s="7" t="s">
        <v>422</v>
      </c>
      <c r="C121" s="7" t="s">
        <v>400</v>
      </c>
    </row>
    <row r="122" spans="1:5" x14ac:dyDescent="0.25">
      <c r="A122" s="149"/>
      <c r="B122" s="7" t="s">
        <v>119</v>
      </c>
      <c r="C122" s="7" t="s">
        <v>120</v>
      </c>
    </row>
    <row r="123" spans="1:5" x14ac:dyDescent="0.25">
      <c r="A123" s="150"/>
      <c r="B123" s="7" t="s">
        <v>404</v>
      </c>
      <c r="C123" s="7" t="s">
        <v>389</v>
      </c>
    </row>
    <row r="125" spans="1:5" x14ac:dyDescent="0.25">
      <c r="A125" s="148" t="s">
        <v>408</v>
      </c>
      <c r="B125" s="77" t="s">
        <v>347</v>
      </c>
      <c r="C125" s="77" t="s">
        <v>130</v>
      </c>
      <c r="D125" s="7" t="s">
        <v>417</v>
      </c>
      <c r="E125" s="7" t="s">
        <v>130</v>
      </c>
    </row>
    <row r="126" spans="1:5" x14ac:dyDescent="0.25">
      <c r="A126" s="149"/>
      <c r="B126" s="77" t="s">
        <v>379</v>
      </c>
      <c r="C126" s="77" t="s">
        <v>129</v>
      </c>
      <c r="D126" s="7" t="s">
        <v>418</v>
      </c>
      <c r="E126" s="7" t="s">
        <v>121</v>
      </c>
    </row>
    <row r="127" spans="1:5" x14ac:dyDescent="0.25">
      <c r="A127" s="149"/>
      <c r="B127" s="77" t="s">
        <v>422</v>
      </c>
      <c r="C127" s="77" t="s">
        <v>400</v>
      </c>
      <c r="D127" s="7" t="s">
        <v>419</v>
      </c>
      <c r="E127" s="7" t="s">
        <v>121</v>
      </c>
    </row>
    <row r="128" spans="1:5" x14ac:dyDescent="0.25">
      <c r="A128" s="149"/>
      <c r="B128" s="77" t="s">
        <v>409</v>
      </c>
      <c r="C128" s="77" t="s">
        <v>438</v>
      </c>
      <c r="D128" s="7" t="s">
        <v>420</v>
      </c>
      <c r="E128" s="7" t="s">
        <v>121</v>
      </c>
    </row>
    <row r="129" spans="1:5" x14ac:dyDescent="0.25">
      <c r="A129" s="149"/>
      <c r="B129" s="77" t="s">
        <v>410</v>
      </c>
      <c r="C129" s="77" t="s">
        <v>439</v>
      </c>
      <c r="D129" s="7" t="s">
        <v>421</v>
      </c>
      <c r="E129" s="7" t="s">
        <v>121</v>
      </c>
    </row>
    <row r="130" spans="1:5" x14ac:dyDescent="0.25">
      <c r="A130" s="149"/>
      <c r="B130" s="77" t="s">
        <v>411</v>
      </c>
      <c r="C130" s="77" t="s">
        <v>439</v>
      </c>
      <c r="D130" s="7" t="s">
        <v>423</v>
      </c>
      <c r="E130" s="7" t="s">
        <v>121</v>
      </c>
    </row>
    <row r="131" spans="1:5" x14ac:dyDescent="0.25">
      <c r="A131" s="149"/>
      <c r="B131" s="77" t="s">
        <v>412</v>
      </c>
      <c r="C131" s="77" t="s">
        <v>121</v>
      </c>
    </row>
    <row r="132" spans="1:5" x14ac:dyDescent="0.25">
      <c r="A132" s="149"/>
      <c r="B132" s="77" t="s">
        <v>413</v>
      </c>
      <c r="C132" s="77" t="s">
        <v>389</v>
      </c>
    </row>
    <row r="133" spans="1:5" x14ac:dyDescent="0.25">
      <c r="A133" s="149"/>
      <c r="B133" s="77" t="s">
        <v>414</v>
      </c>
      <c r="C133" s="77" t="s">
        <v>440</v>
      </c>
    </row>
    <row r="134" spans="1:5" x14ac:dyDescent="0.25">
      <c r="A134" s="149"/>
      <c r="B134" s="77" t="s">
        <v>415</v>
      </c>
      <c r="C134" s="77" t="s">
        <v>441</v>
      </c>
    </row>
    <row r="135" spans="1:5" x14ac:dyDescent="0.25">
      <c r="A135" s="150"/>
      <c r="B135" s="77" t="s">
        <v>416</v>
      </c>
      <c r="C135" s="77" t="s">
        <v>441</v>
      </c>
    </row>
    <row r="137" spans="1:5" x14ac:dyDescent="0.25">
      <c r="A137" s="158" t="s">
        <v>424</v>
      </c>
      <c r="B137" s="7" t="s">
        <v>294</v>
      </c>
      <c r="C137" s="7" t="s">
        <v>389</v>
      </c>
      <c r="D137" s="80" t="s">
        <v>158</v>
      </c>
      <c r="E137" s="7" t="s">
        <v>390</v>
      </c>
    </row>
    <row r="138" spans="1:5" x14ac:dyDescent="0.25">
      <c r="A138" s="158"/>
      <c r="B138" s="7" t="s">
        <v>295</v>
      </c>
      <c r="C138" s="7" t="s">
        <v>389</v>
      </c>
      <c r="D138" s="80" t="s">
        <v>299</v>
      </c>
      <c r="E138" s="7" t="s">
        <v>390</v>
      </c>
    </row>
    <row r="139" spans="1:5" x14ac:dyDescent="0.25">
      <c r="A139" s="158"/>
      <c r="B139" s="7" t="s">
        <v>296</v>
      </c>
      <c r="C139" s="7" t="s">
        <v>389</v>
      </c>
      <c r="D139" s="80" t="s">
        <v>300</v>
      </c>
      <c r="E139" s="7" t="s">
        <v>390</v>
      </c>
    </row>
    <row r="140" spans="1:5" x14ac:dyDescent="0.25">
      <c r="A140" s="158"/>
      <c r="B140" s="7" t="s">
        <v>298</v>
      </c>
      <c r="C140" s="7" t="s">
        <v>389</v>
      </c>
      <c r="D140" s="80" t="s">
        <v>301</v>
      </c>
      <c r="E140" s="7" t="s">
        <v>390</v>
      </c>
    </row>
    <row r="141" spans="1:5" x14ac:dyDescent="0.25">
      <c r="A141" s="158"/>
      <c r="B141" s="7" t="s">
        <v>297</v>
      </c>
      <c r="C141" s="7" t="s">
        <v>389</v>
      </c>
      <c r="D141" s="80" t="s">
        <v>302</v>
      </c>
      <c r="E141" s="7" t="s">
        <v>390</v>
      </c>
    </row>
    <row r="142" spans="1:5" x14ac:dyDescent="0.25">
      <c r="A142" s="158"/>
      <c r="B142" s="7" t="s">
        <v>291</v>
      </c>
      <c r="C142" s="7" t="s">
        <v>390</v>
      </c>
      <c r="D142" s="80" t="s">
        <v>303</v>
      </c>
      <c r="E142" s="7" t="s">
        <v>390</v>
      </c>
    </row>
    <row r="143" spans="1:5" x14ac:dyDescent="0.25">
      <c r="A143" s="158"/>
      <c r="B143" s="7" t="s">
        <v>292</v>
      </c>
      <c r="C143" s="7" t="s">
        <v>442</v>
      </c>
    </row>
    <row r="144" spans="1:5" x14ac:dyDescent="0.25">
      <c r="A144" s="158"/>
      <c r="B144" s="7" t="s">
        <v>348</v>
      </c>
      <c r="C144" s="7" t="s">
        <v>129</v>
      </c>
    </row>
    <row r="146" spans="1:5" x14ac:dyDescent="0.25">
      <c r="A146" s="148" t="s">
        <v>304</v>
      </c>
      <c r="B146" s="85" t="s">
        <v>391</v>
      </c>
      <c r="C146" s="84" t="s">
        <v>390</v>
      </c>
      <c r="D146" s="7" t="s">
        <v>305</v>
      </c>
      <c r="E146" s="7" t="s">
        <v>390</v>
      </c>
    </row>
    <row r="147" spans="1:5" x14ac:dyDescent="0.25">
      <c r="A147" s="149"/>
      <c r="B147" s="85" t="s">
        <v>293</v>
      </c>
      <c r="C147" s="84" t="s">
        <v>129</v>
      </c>
      <c r="D147" s="7" t="s">
        <v>306</v>
      </c>
      <c r="E147" s="7" t="s">
        <v>390</v>
      </c>
    </row>
    <row r="148" spans="1:5" x14ac:dyDescent="0.25">
      <c r="A148" s="149"/>
      <c r="B148" s="83"/>
      <c r="C148" s="83"/>
      <c r="D148" s="7" t="s">
        <v>307</v>
      </c>
      <c r="E148" s="7" t="s">
        <v>390</v>
      </c>
    </row>
    <row r="149" spans="1:5" x14ac:dyDescent="0.25">
      <c r="A149" s="149"/>
      <c r="B149" s="83"/>
      <c r="C149" s="83"/>
      <c r="D149" s="7" t="s">
        <v>308</v>
      </c>
      <c r="E149" s="7" t="s">
        <v>390</v>
      </c>
    </row>
    <row r="150" spans="1:5" x14ac:dyDescent="0.25">
      <c r="A150" s="150"/>
      <c r="B150" s="83"/>
      <c r="C150" s="83"/>
      <c r="D150" s="7" t="s">
        <v>309</v>
      </c>
      <c r="E150" s="7" t="s">
        <v>390</v>
      </c>
    </row>
    <row r="152" spans="1:5" x14ac:dyDescent="0.25">
      <c r="A152" s="148" t="s">
        <v>428</v>
      </c>
      <c r="B152" s="77" t="s">
        <v>310</v>
      </c>
      <c r="C152" s="77" t="s">
        <v>141</v>
      </c>
      <c r="D152" s="77" t="s">
        <v>429</v>
      </c>
      <c r="E152" s="7" t="s">
        <v>141</v>
      </c>
    </row>
    <row r="153" spans="1:5" x14ac:dyDescent="0.25">
      <c r="A153" s="149"/>
      <c r="B153" s="77" t="s">
        <v>430</v>
      </c>
      <c r="C153" s="7" t="s">
        <v>389</v>
      </c>
    </row>
    <row r="154" spans="1:5" x14ac:dyDescent="0.25">
      <c r="A154" s="150"/>
      <c r="B154" s="77" t="s">
        <v>431</v>
      </c>
      <c r="C154" s="7" t="s">
        <v>389</v>
      </c>
    </row>
    <row r="155" spans="1:5" x14ac:dyDescent="0.25">
      <c r="B155" s="4"/>
    </row>
    <row r="156" spans="1:5" x14ac:dyDescent="0.25">
      <c r="A156" s="11" t="s">
        <v>329</v>
      </c>
      <c r="B156" s="77" t="s">
        <v>432</v>
      </c>
      <c r="C156" s="81" t="s">
        <v>392</v>
      </c>
      <c r="D156" s="7" t="s">
        <v>336</v>
      </c>
      <c r="E156" s="7" t="s">
        <v>390</v>
      </c>
    </row>
    <row r="157" spans="1:5" x14ac:dyDescent="0.25">
      <c r="B157" s="4"/>
      <c r="D157" s="7" t="s">
        <v>433</v>
      </c>
      <c r="E157" s="7" t="s">
        <v>390</v>
      </c>
    </row>
    <row r="158" spans="1:5" x14ac:dyDescent="0.25">
      <c r="B158" s="4"/>
    </row>
    <row r="159" spans="1:5" x14ac:dyDescent="0.25">
      <c r="A159" s="158" t="s">
        <v>378</v>
      </c>
      <c r="B159" s="77" t="s">
        <v>434</v>
      </c>
      <c r="C159" s="7" t="s">
        <v>390</v>
      </c>
      <c r="D159" s="7" t="s">
        <v>437</v>
      </c>
    </row>
    <row r="160" spans="1:5" x14ac:dyDescent="0.25">
      <c r="A160" s="158"/>
      <c r="B160" s="77" t="s">
        <v>435</v>
      </c>
      <c r="C160" s="7" t="s">
        <v>442</v>
      </c>
    </row>
    <row r="161" spans="1:3" x14ac:dyDescent="0.25">
      <c r="A161" s="158"/>
      <c r="B161" s="77" t="s">
        <v>347</v>
      </c>
      <c r="C161" s="7" t="s">
        <v>130</v>
      </c>
    </row>
    <row r="162" spans="1:3" x14ac:dyDescent="0.25">
      <c r="A162" s="158"/>
      <c r="B162" s="77" t="s">
        <v>348</v>
      </c>
      <c r="C162" s="7" t="s">
        <v>129</v>
      </c>
    </row>
    <row r="163" spans="1:3" x14ac:dyDescent="0.25">
      <c r="A163" s="158"/>
      <c r="B163" s="77" t="s">
        <v>422</v>
      </c>
      <c r="C163" s="7" t="s">
        <v>443</v>
      </c>
    </row>
    <row r="164" spans="1:3" x14ac:dyDescent="0.25">
      <c r="A164" s="158"/>
      <c r="B164" s="77" t="s">
        <v>119</v>
      </c>
      <c r="C164" s="7" t="s">
        <v>120</v>
      </c>
    </row>
    <row r="165" spans="1:3" x14ac:dyDescent="0.25">
      <c r="A165" s="158"/>
      <c r="B165" s="77" t="s">
        <v>436</v>
      </c>
      <c r="C165" s="7" t="s">
        <v>444</v>
      </c>
    </row>
    <row r="166" spans="1:3" x14ac:dyDescent="0.25">
      <c r="A166" s="158"/>
      <c r="B166" s="7" t="s">
        <v>294</v>
      </c>
      <c r="C166" s="7" t="s">
        <v>389</v>
      </c>
    </row>
    <row r="167" spans="1:3" x14ac:dyDescent="0.25">
      <c r="A167" s="158"/>
      <c r="B167" s="7" t="s">
        <v>295</v>
      </c>
      <c r="C167" s="7" t="s">
        <v>389</v>
      </c>
    </row>
    <row r="168" spans="1:3" x14ac:dyDescent="0.25">
      <c r="A168" s="158"/>
      <c r="B168" s="7" t="s">
        <v>296</v>
      </c>
      <c r="C168" s="7" t="s">
        <v>389</v>
      </c>
    </row>
    <row r="169" spans="1:3" x14ac:dyDescent="0.25">
      <c r="A169" s="158"/>
      <c r="B169" s="7" t="s">
        <v>298</v>
      </c>
      <c r="C169" s="7" t="s">
        <v>389</v>
      </c>
    </row>
    <row r="170" spans="1:3" x14ac:dyDescent="0.25">
      <c r="A170" s="158"/>
      <c r="B170" s="7" t="s">
        <v>297</v>
      </c>
      <c r="C170" s="7" t="s">
        <v>389</v>
      </c>
    </row>
  </sheetData>
  <mergeCells count="20">
    <mergeCell ref="A159:A170"/>
    <mergeCell ref="A152:A154"/>
    <mergeCell ref="A137:A144"/>
    <mergeCell ref="A125:A135"/>
    <mergeCell ref="A103:A107"/>
    <mergeCell ref="A109:A117"/>
    <mergeCell ref="A119:A123"/>
    <mergeCell ref="D91:D95"/>
    <mergeCell ref="A91:A95"/>
    <mergeCell ref="A76:A86"/>
    <mergeCell ref="A146:A150"/>
    <mergeCell ref="A3:A10"/>
    <mergeCell ref="A12:A16"/>
    <mergeCell ref="A18:A24"/>
    <mergeCell ref="B18:B24"/>
    <mergeCell ref="A26:A31"/>
    <mergeCell ref="A33:A46"/>
    <mergeCell ref="A64:A74"/>
    <mergeCell ref="C18:C24"/>
    <mergeCell ref="A48:A51"/>
  </mergeCells>
  <phoneticPr fontId="13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Datas of Aircraft</vt:lpstr>
      <vt:lpstr>LCC OF COMPONENTS</vt:lpstr>
      <vt:lpstr>LCC of LG</vt:lpstr>
      <vt:lpstr>LCA</vt:lpstr>
      <vt:lpstr>GROUPING</vt:lpstr>
      <vt:lpstr>Total Climate Change</vt:lpstr>
      <vt:lpstr>LCA and LCC functions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Spagnulo  Antonello</dc:creator>
  <cp:lastModifiedBy>Spagnulo  Antonello</cp:lastModifiedBy>
  <dcterms:created xsi:type="dcterms:W3CDTF">2024-06-20T14:58:10Z</dcterms:created>
  <dcterms:modified xsi:type="dcterms:W3CDTF">2024-09-14T10:21:45Z</dcterms:modified>
</cp:coreProperties>
</file>