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berto\Desktop\POLITECNICO\MAGISTRALE\TESI\"/>
    </mc:Choice>
  </mc:AlternateContent>
  <xr:revisionPtr revIDLastSave="0" documentId="13_ncr:1_{31BA9B62-90B7-41BC-BAE7-EACA8C3031A1}" xr6:coauthVersionLast="45" xr6:coauthVersionMax="45" xr10:uidLastSave="{00000000-0000-0000-0000-000000000000}"/>
  <bookViews>
    <workbookView xWindow="12" yWindow="612" windowWidth="23028" windowHeight="12348" firstSheet="5" activeTab="6" xr2:uid="{EBDDCDDE-8CF0-476E-8404-CB6D67D85EBE}"/>
  </bookViews>
  <sheets>
    <sheet name="Dati impianto INPUT" sheetId="1" r:id="rId1"/>
    <sheet name="MEA - processo di absorbimento" sheetId="2" r:id="rId2"/>
    <sheet name="IL - processo di absorbimento" sheetId="3" r:id="rId3"/>
    <sheet name="MEMB - separazione della CO2" sheetId="6" r:id="rId4"/>
    <sheet name="MEA - risultati" sheetId="4" r:id="rId5"/>
    <sheet name="IL - risultati" sheetId="5" r:id="rId6"/>
    <sheet name="MEMB - risultati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" i="6" l="1"/>
  <c r="J8" i="1"/>
  <c r="D9" i="1" l="1"/>
  <c r="AI52" i="3" l="1"/>
  <c r="AA55" i="2"/>
  <c r="E9" i="3"/>
  <c r="A20" i="6" l="1"/>
  <c r="J8" i="6" l="1"/>
  <c r="O39" i="6"/>
  <c r="G38" i="6"/>
  <c r="AB36" i="6" s="1"/>
  <c r="G37" i="6"/>
  <c r="F49" i="6"/>
  <c r="G62" i="6" l="1"/>
  <c r="F51" i="6" s="1"/>
  <c r="G60" i="6"/>
  <c r="Q53" i="6" l="1"/>
  <c r="A8" i="6" l="1"/>
  <c r="D7" i="7"/>
  <c r="D8" i="7"/>
  <c r="A10" i="6"/>
  <c r="AD56" i="6"/>
  <c r="AD55" i="6"/>
  <c r="A12" i="6"/>
  <c r="A4" i="6" l="1"/>
  <c r="E8" i="6"/>
  <c r="E6" i="6"/>
  <c r="N61" i="6"/>
  <c r="F38" i="6" s="1"/>
  <c r="F62" i="6" l="1"/>
  <c r="F63" i="6" s="1"/>
  <c r="E51" i="6"/>
  <c r="E52" i="6" s="1"/>
  <c r="F61" i="6"/>
  <c r="F37" i="6" s="1"/>
  <c r="E49" i="6"/>
  <c r="AC55" i="6"/>
  <c r="O61" i="6"/>
  <c r="N62" i="6" s="1"/>
  <c r="F60" i="6" s="1"/>
  <c r="E50" i="6" l="1"/>
  <c r="H61" i="6"/>
  <c r="M61" i="6"/>
  <c r="E60" i="6" s="1"/>
  <c r="E62" i="6" l="1"/>
  <c r="H63" i="6"/>
  <c r="P62" i="6"/>
  <c r="D12" i="7" s="1"/>
  <c r="AK24" i="3"/>
  <c r="AK23" i="3"/>
  <c r="AD27" i="2"/>
  <c r="G23" i="3"/>
  <c r="F23" i="3"/>
  <c r="F24" i="3" s="1"/>
  <c r="E47" i="3" s="1"/>
  <c r="G45" i="2"/>
  <c r="G47" i="2" s="1"/>
  <c r="F46" i="2"/>
  <c r="F26" i="2"/>
  <c r="E26" i="2"/>
  <c r="AJ52" i="3"/>
  <c r="AB55" i="2"/>
  <c r="J11" i="1"/>
  <c r="E27" i="2" l="1"/>
  <c r="F45" i="2" s="1"/>
  <c r="E48" i="3"/>
  <c r="AA48" i="3" s="1"/>
  <c r="S54" i="2"/>
  <c r="AD26" i="2" s="1"/>
  <c r="D24" i="1"/>
  <c r="S53" i="3" l="1"/>
  <c r="S56" i="2" l="1"/>
  <c r="T34" i="2"/>
  <c r="AL25" i="3"/>
  <c r="X31" i="3"/>
  <c r="AE28" i="2"/>
  <c r="U35" i="2"/>
  <c r="AJ51" i="3"/>
  <c r="AB50" i="3" s="1"/>
  <c r="I9" i="3"/>
  <c r="I7" i="3"/>
  <c r="W31" i="3" l="1"/>
  <c r="E49" i="3"/>
  <c r="E50" i="3" s="1"/>
  <c r="K58" i="2"/>
  <c r="A11" i="3"/>
  <c r="AC11" i="3"/>
  <c r="D8" i="5" s="1"/>
  <c r="T54" i="3"/>
  <c r="T53" i="3"/>
  <c r="B28" i="3"/>
  <c r="E23" i="3" s="1"/>
  <c r="H24" i="3" s="1"/>
  <c r="D19" i="5" l="1"/>
  <c r="N49" i="3"/>
  <c r="D47" i="3"/>
  <c r="G48" i="3" s="1"/>
  <c r="G50" i="3" s="1"/>
  <c r="D49" i="3" s="1"/>
  <c r="D13" i="5" s="1"/>
  <c r="AB10" i="3"/>
  <c r="D9" i="5" s="1"/>
  <c r="AE56" i="3"/>
  <c r="I9" i="2"/>
  <c r="I7" i="2"/>
  <c r="F47" i="2" s="1"/>
  <c r="A11" i="2"/>
  <c r="AA6" i="2"/>
  <c r="D8" i="4" s="1"/>
  <c r="F48" i="2" l="1"/>
  <c r="X59" i="2"/>
  <c r="Z5" i="2"/>
  <c r="D9" i="4" s="1"/>
  <c r="C30" i="2"/>
  <c r="D26" i="2" s="1"/>
  <c r="G27" i="2" s="1"/>
  <c r="D19" i="4" s="1"/>
  <c r="I53" i="2" l="1"/>
  <c r="E45" i="2"/>
  <c r="W32" i="3"/>
  <c r="AA50" i="3"/>
  <c r="AH56" i="3"/>
  <c r="AK26" i="3"/>
  <c r="AK25" i="3"/>
  <c r="H46" i="2" l="1"/>
  <c r="AI51" i="3"/>
  <c r="AF56" i="3" s="1"/>
  <c r="AA49" i="3"/>
  <c r="W30" i="3"/>
  <c r="AB48" i="3"/>
  <c r="AL23" i="3" s="1"/>
  <c r="AC10" i="3" s="1"/>
  <c r="X29" i="3"/>
  <c r="E9" i="2"/>
  <c r="H48" i="2" l="1"/>
  <c r="E47" i="2"/>
  <c r="D13" i="4" s="1"/>
  <c r="E13" i="2"/>
  <c r="AA59" i="2" l="1"/>
  <c r="T36" i="2"/>
  <c r="T35" i="2"/>
  <c r="Y59" i="2"/>
  <c r="AD29" i="2"/>
  <c r="AD28" i="2"/>
  <c r="S55" i="2"/>
  <c r="AE26" i="2"/>
  <c r="E11" i="2"/>
  <c r="AA5" i="2" l="1"/>
  <c r="AB54" i="2"/>
  <c r="T54" i="2"/>
  <c r="T56" i="2" l="1"/>
  <c r="U33" i="2"/>
  <c r="E7" i="2" l="1"/>
  <c r="Q54" i="6" l="1"/>
  <c r="D14" i="1"/>
  <c r="F22" i="6" l="1"/>
  <c r="A4" i="2"/>
  <c r="J9" i="1"/>
  <c r="J10" i="1" l="1"/>
  <c r="N4" i="6"/>
  <c r="F5" i="1" l="1"/>
  <c r="Q55" i="6" s="1"/>
  <c r="N5" i="6"/>
  <c r="Q56" i="6" l="1"/>
  <c r="B29" i="3"/>
  <c r="C31" i="2"/>
  <c r="I52" i="2" s="1"/>
  <c r="O28" i="2" s="1"/>
  <c r="D5" i="4" s="1"/>
  <c r="D4" i="5"/>
  <c r="AH51" i="3"/>
  <c r="Z44" i="3"/>
  <c r="V29" i="3"/>
  <c r="Z50" i="3"/>
  <c r="T50" i="2"/>
  <c r="D4" i="4"/>
  <c r="J30" i="2" l="1"/>
  <c r="I51" i="2"/>
  <c r="AC26" i="2" s="1"/>
  <c r="AF27" i="2" s="1"/>
  <c r="AF29" i="2" s="1"/>
  <c r="AC28" i="2" s="1"/>
  <c r="D14" i="4" s="1"/>
  <c r="AC54" i="2"/>
  <c r="X61" i="2" s="1"/>
  <c r="D22" i="4" s="1"/>
  <c r="Y5" i="2"/>
  <c r="AB6" i="2" s="1"/>
  <c r="D20" i="4" s="1"/>
  <c r="AB52" i="6"/>
  <c r="T20" i="6" s="1"/>
  <c r="R57" i="6"/>
  <c r="O29" i="3"/>
  <c r="D5" i="5" s="1"/>
  <c r="N48" i="3"/>
  <c r="AH52" i="3"/>
  <c r="AK51" i="3"/>
  <c r="AE58" i="3" s="1"/>
  <c r="D22" i="5" s="1"/>
  <c r="Z55" i="2"/>
  <c r="J29" i="2"/>
  <c r="R56" i="2"/>
  <c r="Z54" i="2"/>
  <c r="S33" i="2"/>
  <c r="R54" i="2" l="1"/>
  <c r="U55" i="2" s="1"/>
  <c r="U57" i="2" s="1"/>
  <c r="S57" i="2" s="1"/>
  <c r="T33" i="2" s="1"/>
  <c r="V34" i="2" s="1"/>
  <c r="D10" i="4"/>
  <c r="J58" i="2"/>
  <c r="M59" i="2" s="1"/>
  <c r="Z52" i="6"/>
  <c r="AB51" i="6"/>
  <c r="I30" i="3"/>
  <c r="AA10" i="3"/>
  <c r="AD11" i="3" s="1"/>
  <c r="N47" i="3"/>
  <c r="I29" i="3"/>
  <c r="R20" i="6" l="1"/>
  <c r="T19" i="6"/>
  <c r="R21" i="6" s="1"/>
  <c r="Z51" i="6"/>
  <c r="D9" i="7" s="1"/>
  <c r="D20" i="5"/>
  <c r="D10" i="5"/>
  <c r="AJ23" i="3"/>
  <c r="AM24" i="3" s="1"/>
  <c r="AM26" i="3" s="1"/>
  <c r="AJ25" i="3" s="1"/>
  <c r="D14" i="5" s="1"/>
  <c r="Z48" i="3"/>
  <c r="AC49" i="3" s="1"/>
  <c r="AC51" i="3" s="1"/>
  <c r="AA51" i="3" s="1"/>
  <c r="W29" i="3" s="1"/>
  <c r="Y30" i="3" s="1"/>
  <c r="Y32" i="3" s="1"/>
  <c r="V31" i="3" s="1"/>
  <c r="D15" i="5" s="1"/>
  <c r="R53" i="3"/>
  <c r="U54" i="3" s="1"/>
  <c r="C55" i="3" s="1"/>
  <c r="D21" i="4"/>
  <c r="C59" i="2"/>
  <c r="C60" i="2" s="1"/>
  <c r="D24" i="4" s="1"/>
  <c r="S35" i="2"/>
  <c r="D15" i="4" s="1"/>
  <c r="D16" i="4" s="1"/>
  <c r="V36" i="2"/>
  <c r="D23" i="4" l="1"/>
  <c r="D16" i="5"/>
  <c r="D21" i="5"/>
  <c r="D23" i="5" s="1"/>
  <c r="AB55" i="6"/>
  <c r="R19" i="6"/>
  <c r="AA36" i="6"/>
  <c r="C61" i="2"/>
  <c r="D25" i="4" s="1"/>
  <c r="AE56" i="6" l="1"/>
  <c r="D16" i="7" s="1"/>
  <c r="C56" i="3"/>
  <c r="D24" i="5" s="1"/>
  <c r="C57" i="3"/>
  <c r="D25" i="5" s="1"/>
  <c r="AA30" i="6"/>
  <c r="M29" i="6" l="1"/>
  <c r="AA29" i="6"/>
  <c r="AA31" i="6" l="1"/>
  <c r="AC37" i="6" s="1"/>
  <c r="D15" i="7" s="1"/>
  <c r="R27" i="6"/>
  <c r="Y13" i="6" s="1"/>
  <c r="Y14" i="6" s="1"/>
  <c r="F23" i="6" s="1"/>
  <c r="T24" i="6" l="1"/>
  <c r="K24" i="6"/>
  <c r="F21" i="6"/>
  <c r="M30" i="6"/>
  <c r="M31" i="6" s="1"/>
  <c r="C65" i="6" l="1"/>
  <c r="D4" i="7" s="1"/>
  <c r="N39" i="6"/>
  <c r="H38" i="6"/>
  <c r="R28" i="6"/>
  <c r="Q29" i="6" s="1"/>
  <c r="D14" i="7" l="1"/>
  <c r="G50" i="6"/>
  <c r="E37" i="6"/>
  <c r="D49" i="6" s="1"/>
  <c r="P40" i="6"/>
  <c r="D51" i="6" l="1"/>
  <c r="G52" i="6"/>
  <c r="D13" i="7"/>
  <c r="D17" i="7" s="1"/>
  <c r="C68" i="6"/>
  <c r="C70" i="6" l="1"/>
  <c r="D19" i="7" s="1"/>
  <c r="C69" i="6"/>
  <c r="D18" i="7" s="1"/>
</calcChain>
</file>

<file path=xl/sharedStrings.xml><?xml version="1.0" encoding="utf-8"?>
<sst xmlns="http://schemas.openxmlformats.org/spreadsheetml/2006/main" count="570" uniqueCount="191">
  <si>
    <t>Potenza elettrica netta</t>
  </si>
  <si>
    <r>
      <t>MW</t>
    </r>
    <r>
      <rPr>
        <vertAlign val="subscript"/>
        <sz val="11"/>
        <color theme="1"/>
        <rFont val="Calibri"/>
        <family val="2"/>
        <scheme val="minor"/>
      </rPr>
      <t>e</t>
    </r>
  </si>
  <si>
    <t>kg/s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</si>
  <si>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</t>
    </r>
  </si>
  <si>
    <r>
      <t>Concentrazione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</t>
    </r>
  </si>
  <si>
    <t xml:space="preserve">Temperatura fumi </t>
  </si>
  <si>
    <t>°C</t>
  </si>
  <si>
    <r>
      <t>PM CO</t>
    </r>
    <r>
      <rPr>
        <vertAlign val="subscript"/>
        <sz val="11"/>
        <color theme="1"/>
        <rFont val="Calibri"/>
        <family val="2"/>
        <scheme val="minor"/>
      </rPr>
      <t>2</t>
    </r>
  </si>
  <si>
    <t>g/mol</t>
  </si>
  <si>
    <t>densità fumi (0 °C)</t>
  </si>
  <si>
    <r>
      <t>kg/m</t>
    </r>
    <r>
      <rPr>
        <vertAlign val="superscript"/>
        <sz val="11"/>
        <color theme="1"/>
        <rFont val="Calibri"/>
        <family val="2"/>
        <scheme val="minor"/>
      </rPr>
      <t>3</t>
    </r>
  </si>
  <si>
    <t>densità fumi (T_fumi)</t>
  </si>
  <si>
    <r>
      <t>densità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(T_fumi)</t>
    </r>
  </si>
  <si>
    <t>BIBLIOGRAFIA</t>
  </si>
  <si>
    <t>1)</t>
  </si>
  <si>
    <t>Martin Haafa, Rahul Anantharamanb, Simon Roussanalyb, Jochen Ströhlea,⁎, Bernd Epplea</t>
  </si>
  <si>
    <t>2)</t>
  </si>
  <si>
    <t>An assessment of CCS costs, barriers and potential</t>
  </si>
  <si>
    <t>Sara Budinisa,b,∗, Samuel Krevorc, Niall Mac Dowellb,d, Nigel Brandonb,c, Adam Hawkesa,b</t>
  </si>
  <si>
    <t>3)</t>
  </si>
  <si>
    <t>Sperimentazione di sistemi di cattura post-combustione</t>
  </si>
  <si>
    <t>ENEA</t>
  </si>
  <si>
    <t>4)</t>
  </si>
  <si>
    <t>Exergetic and exergoeconomic analysis of post-combustion CO2 capture using MEA-solvent chemical absorption</t>
  </si>
  <si>
    <t>G. Ferrara a, b, A. Lanzini a, P. Leone a, *, M.T. Ho b, c, d, D.E. Wiley b, c, d</t>
  </si>
  <si>
    <r>
      <t>vapore utilizzato rigenerazione solvente (kg/kg</t>
    </r>
    <r>
      <rPr>
        <vertAlign val="subscript"/>
        <sz val="11"/>
        <color theme="1"/>
        <rFont val="Calibri"/>
        <family val="2"/>
        <scheme val="minor"/>
      </rPr>
      <t>CO2</t>
    </r>
    <r>
      <rPr>
        <sz val="11"/>
        <color theme="1"/>
        <rFont val="Calibri"/>
        <family val="2"/>
        <scheme val="minor"/>
      </rPr>
      <t>)</t>
    </r>
  </si>
  <si>
    <r>
      <t>perdita di solvente (kg/kg</t>
    </r>
    <r>
      <rPr>
        <vertAlign val="subscript"/>
        <sz val="11"/>
        <color theme="1"/>
        <rFont val="Calibri"/>
        <family val="2"/>
        <scheme val="minor"/>
      </rPr>
      <t>CO2</t>
    </r>
    <r>
      <rPr>
        <sz val="11"/>
        <color theme="1"/>
        <rFont val="Calibri"/>
        <family val="2"/>
        <scheme val="minor"/>
      </rPr>
      <t>)</t>
    </r>
  </si>
  <si>
    <t>DATI IMPIANTO</t>
  </si>
  <si>
    <r>
      <t>CO</t>
    </r>
    <r>
      <rPr>
        <vertAlign val="subscript"/>
        <sz val="11"/>
        <color theme="1"/>
        <rFont val="Calibri"/>
        <family val="2"/>
        <scheme val="minor"/>
      </rPr>
      <t>2</t>
    </r>
  </si>
  <si>
    <r>
      <t>N</t>
    </r>
    <r>
      <rPr>
        <vertAlign val="subscript"/>
        <sz val="11"/>
        <color theme="1"/>
        <rFont val="Calibri"/>
        <family val="2"/>
        <scheme val="minor"/>
      </rPr>
      <t>2</t>
    </r>
  </si>
  <si>
    <r>
      <t>O</t>
    </r>
    <r>
      <rPr>
        <vertAlign val="subscript"/>
        <sz val="11"/>
        <color theme="1"/>
        <rFont val="Calibri"/>
        <family val="2"/>
        <scheme val="minor"/>
      </rPr>
      <t>2</t>
    </r>
  </si>
  <si>
    <r>
      <t>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</si>
  <si>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t>ΔT (°C)</t>
  </si>
  <si>
    <t>p_steam (kPa)</t>
  </si>
  <si>
    <t>T_cond (K) top</t>
  </si>
  <si>
    <t>T_reb (K) bottom</t>
  </si>
  <si>
    <r>
      <rPr>
        <sz val="11"/>
        <color theme="1"/>
        <rFont val="Calibri"/>
        <family val="2"/>
      </rPr>
      <t>η</t>
    </r>
    <r>
      <rPr>
        <vertAlign val="subscript"/>
        <sz val="11"/>
        <color theme="1"/>
        <rFont val="Calibri"/>
        <family val="2"/>
      </rPr>
      <t>eff</t>
    </r>
  </si>
  <si>
    <t>IN</t>
  </si>
  <si>
    <t>OUT</t>
  </si>
  <si>
    <t>Solv_ricco</t>
  </si>
  <si>
    <t>Solv_povero</t>
  </si>
  <si>
    <t>Portata (kg/s)</t>
  </si>
  <si>
    <t>acqua</t>
  </si>
  <si>
    <t>Temperatura acqua (°C)</t>
  </si>
  <si>
    <t>vapore</t>
  </si>
  <si>
    <t>Potenza (MW)</t>
  </si>
  <si>
    <t>MEA (%)</t>
  </si>
  <si>
    <t>acqua (%)</t>
  </si>
  <si>
    <t>IL (%)</t>
  </si>
  <si>
    <t>c acqua (J/kg/K)</t>
  </si>
  <si>
    <r>
      <t>portata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catturata </t>
    </r>
  </si>
  <si>
    <r>
      <t>portata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fumi output </t>
    </r>
  </si>
  <si>
    <t>massa di solvente da re-iniettare</t>
  </si>
  <si>
    <t xml:space="preserve">portata solvente circolante </t>
  </si>
  <si>
    <t>%</t>
  </si>
  <si>
    <t>Pressione (bar)</t>
  </si>
  <si>
    <t>Pompa del solvente</t>
  </si>
  <si>
    <t>Scambiatore di calore</t>
  </si>
  <si>
    <t>Condensatore</t>
  </si>
  <si>
    <t>Ribollitore</t>
  </si>
  <si>
    <t>Temperatura (K)</t>
  </si>
  <si>
    <t>Refrigeratore solvente</t>
  </si>
  <si>
    <t xml:space="preserve">Consumo di energia CCS </t>
  </si>
  <si>
    <t>Potenza in uscita con CCS</t>
  </si>
  <si>
    <t>Penalità energetica</t>
  </si>
  <si>
    <r>
      <t>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catturata dai gas di scarico (%)</t>
    </r>
  </si>
  <si>
    <r>
      <t>consumo di calore specifico ribollitore (MJ</t>
    </r>
    <r>
      <rPr>
        <vertAlign val="subscript"/>
        <sz val="11"/>
        <color theme="1"/>
        <rFont val="Calibri"/>
        <family val="2"/>
        <scheme val="minor"/>
      </rPr>
      <t>th</t>
    </r>
    <r>
      <rPr>
        <sz val="11"/>
        <color theme="1"/>
        <rFont val="Calibri"/>
        <family val="2"/>
        <scheme val="minor"/>
      </rPr>
      <t>/kg</t>
    </r>
    <r>
      <rPr>
        <vertAlign val="subscript"/>
        <sz val="11"/>
        <color theme="1"/>
        <rFont val="Calibri"/>
        <family val="2"/>
        <scheme val="minor"/>
      </rPr>
      <t>CO2</t>
    </r>
    <r>
      <rPr>
        <sz val="11"/>
        <color theme="1"/>
        <rFont val="Calibri"/>
        <family val="2"/>
        <scheme val="minor"/>
      </rPr>
      <t>)</t>
    </r>
  </si>
  <si>
    <r>
      <t>Equivalente elettrico del calore consumato (MW</t>
    </r>
    <r>
      <rPr>
        <vertAlign val="subscript"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>)</t>
    </r>
  </si>
  <si>
    <t>densità MEA (kg/m^3)</t>
  </si>
  <si>
    <r>
      <t>portata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fumi input </t>
    </r>
  </si>
  <si>
    <t>CARATTERISTICHE MEA</t>
  </si>
  <si>
    <t>CARATTERISTICHE ACQUA</t>
  </si>
  <si>
    <r>
      <t>η</t>
    </r>
    <r>
      <rPr>
        <vertAlign val="subscript"/>
        <sz val="11"/>
        <color theme="1"/>
        <rFont val="Calibri"/>
        <family val="2"/>
      </rPr>
      <t>eff</t>
    </r>
  </si>
  <si>
    <r>
      <t>η</t>
    </r>
    <r>
      <rPr>
        <vertAlign val="subscript"/>
        <sz val="11"/>
        <color theme="1"/>
        <rFont val="Calibri"/>
        <family val="2"/>
        <scheme val="minor"/>
      </rPr>
      <t>pompa</t>
    </r>
  </si>
  <si>
    <t>p_vapore (kPa)</t>
  </si>
  <si>
    <t>portata fumi ingresso</t>
  </si>
  <si>
    <t>CO2 capture from waste-to-energy plants: Techno-economic assessment of novel integration concepts of calcium looping technology</t>
  </si>
  <si>
    <t>portata solvente povero</t>
  </si>
  <si>
    <r>
      <t>CARATTERISTICHE CO</t>
    </r>
    <r>
      <rPr>
        <vertAlign val="subscript"/>
        <sz val="11"/>
        <rFont val="Calibri"/>
        <family val="2"/>
        <scheme val="minor"/>
      </rPr>
      <t>2</t>
    </r>
  </si>
  <si>
    <t>β</t>
  </si>
  <si>
    <t>ϒ</t>
  </si>
  <si>
    <r>
      <t>calore specifico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(J/kg/K)</t>
    </r>
  </si>
  <si>
    <t>portata solvente circolante</t>
  </si>
  <si>
    <r>
      <t>compressore CO</t>
    </r>
    <r>
      <rPr>
        <vertAlign val="subscript"/>
        <sz val="11"/>
        <color theme="1"/>
        <rFont val="Calibri"/>
        <family val="2"/>
        <scheme val="minor"/>
      </rPr>
      <t>2</t>
    </r>
  </si>
  <si>
    <t>MEA</t>
  </si>
  <si>
    <t>DATI INPUT</t>
  </si>
  <si>
    <t>Energia utilizzata</t>
  </si>
  <si>
    <t>pompa del solvente</t>
  </si>
  <si>
    <t>equivalente elettrico del calore consumato</t>
  </si>
  <si>
    <t>totale potenza elettrica consumata</t>
  </si>
  <si>
    <t>MW</t>
  </si>
  <si>
    <r>
      <t>CO</t>
    </r>
    <r>
      <rPr>
        <b/>
        <vertAlign val="subscript"/>
        <sz val="11"/>
        <color theme="1"/>
        <rFont val="Calibri"/>
        <family val="2"/>
        <scheme val="minor"/>
      </rPr>
      <t>2</t>
    </r>
  </si>
  <si>
    <r>
      <t>pressione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compressa</t>
    </r>
  </si>
  <si>
    <r>
      <t>temperatura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compressa</t>
    </r>
  </si>
  <si>
    <t>bar</t>
  </si>
  <si>
    <t>Acqua</t>
  </si>
  <si>
    <t>portata al condensatore</t>
  </si>
  <si>
    <t>portata al refrigeratore solvente</t>
  </si>
  <si>
    <t>totale utilizzo acqua</t>
  </si>
  <si>
    <t>penalità energetica</t>
  </si>
  <si>
    <t>totale potenza in uscita w CCS</t>
  </si>
  <si>
    <r>
      <t>portata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catturata</t>
    </r>
  </si>
  <si>
    <t>RISULTATI</t>
  </si>
  <si>
    <t>Pressione fumi ingresso</t>
  </si>
  <si>
    <t xml:space="preserve">Portata fumi </t>
  </si>
  <si>
    <r>
      <t>Pressione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compressa</t>
    </r>
  </si>
  <si>
    <r>
      <t>Temperatura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compressa</t>
    </r>
  </si>
  <si>
    <t xml:space="preserve">ΔT </t>
  </si>
  <si>
    <t>portata totale</t>
  </si>
  <si>
    <t>fumi in uscita</t>
  </si>
  <si>
    <t>CARATTERISTICHE SOLVENTE</t>
  </si>
  <si>
    <r>
      <t>densità solvente (kg/m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</si>
  <si>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Consumo di energia CCS  (MW</t>
    </r>
    <r>
      <rPr>
        <vertAlign val="subscript"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>)</t>
    </r>
  </si>
  <si>
    <r>
      <t>Potenza in uscita con CCS (MW</t>
    </r>
    <r>
      <rPr>
        <vertAlign val="subscript"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>)</t>
    </r>
  </si>
  <si>
    <t>Penalità energetica (%)</t>
  </si>
  <si>
    <t>Solvente</t>
  </si>
  <si>
    <t>Pressione acqua</t>
  </si>
  <si>
    <t>Solvente ricco</t>
  </si>
  <si>
    <t>Fumi di alimentazione</t>
  </si>
  <si>
    <t>Vapore</t>
  </si>
  <si>
    <r>
      <t>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compressa</t>
    </r>
  </si>
  <si>
    <t>Solvente povero</t>
  </si>
  <si>
    <t>PM fumi</t>
  </si>
  <si>
    <t>%_vol</t>
  </si>
  <si>
    <r>
      <t>portata specifica MEA (kg/kg</t>
    </r>
    <r>
      <rPr>
        <vertAlign val="subscript"/>
        <sz val="11"/>
        <color theme="1"/>
        <rFont val="Calibri"/>
        <family val="2"/>
        <scheme val="minor"/>
      </rPr>
      <t>flue gas</t>
    </r>
    <r>
      <rPr>
        <sz val="11"/>
        <color theme="1"/>
        <rFont val="Calibri"/>
        <family val="2"/>
        <scheme val="minor"/>
      </rPr>
      <t>)</t>
    </r>
  </si>
  <si>
    <r>
      <t>portata specifica solvente (kg/kg</t>
    </r>
    <r>
      <rPr>
        <vertAlign val="subscript"/>
        <sz val="11"/>
        <color theme="1"/>
        <rFont val="Calibri"/>
        <family val="2"/>
        <scheme val="minor"/>
      </rPr>
      <t>flue gas</t>
    </r>
    <r>
      <rPr>
        <sz val="11"/>
        <color theme="1"/>
        <rFont val="Calibri"/>
        <family val="2"/>
        <scheme val="minor"/>
      </rPr>
      <t>)</t>
    </r>
  </si>
  <si>
    <t>Temperatura acqua ingresso</t>
  </si>
  <si>
    <t>Temperatura acqua uscita</t>
  </si>
  <si>
    <t>Refrigeratore gas d'alimento</t>
  </si>
  <si>
    <t>fumi ingresso</t>
  </si>
  <si>
    <t>calore specifico fumi</t>
  </si>
  <si>
    <t>J/kg/K</t>
  </si>
  <si>
    <t>ENERGIA</t>
  </si>
  <si>
    <t>Ventilatore gas alimentazione</t>
  </si>
  <si>
    <t>portata al refrigeratore gas alimento</t>
  </si>
  <si>
    <t>IL</t>
  </si>
  <si>
    <t>totale potenza in uscita con CCS</t>
  </si>
  <si>
    <t>calore specifico MEA (J/kg/K)</t>
  </si>
  <si>
    <t>calore specifico solvente (J/kg/K)</t>
  </si>
  <si>
    <t>mol/s</t>
  </si>
  <si>
    <r>
      <t>X</t>
    </r>
    <r>
      <rPr>
        <vertAlign val="subscript"/>
        <sz val="11"/>
        <color theme="1"/>
        <rFont val="Calibri"/>
        <family val="2"/>
        <scheme val="minor"/>
      </rPr>
      <t>CO2</t>
    </r>
  </si>
  <si>
    <r>
      <t>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fumi uscita</t>
    </r>
  </si>
  <si>
    <r>
      <t>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catturata</t>
    </r>
  </si>
  <si>
    <t>portata fumi in uscita</t>
  </si>
  <si>
    <t>portata catturata</t>
  </si>
  <si>
    <t>portata 1° step</t>
  </si>
  <si>
    <t>portata ricircolo</t>
  </si>
  <si>
    <r>
      <t>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</t>
    </r>
  </si>
  <si>
    <t>CARATTERISTICHE FUMI</t>
  </si>
  <si>
    <t>Compressore</t>
  </si>
  <si>
    <t>numero di catene</t>
  </si>
  <si>
    <t>portata 2° step</t>
  </si>
  <si>
    <t>portata permeata 2° step</t>
  </si>
  <si>
    <t>portata permeata 1° step</t>
  </si>
  <si>
    <t xml:space="preserve">1° Refrigeratore </t>
  </si>
  <si>
    <t xml:space="preserve">2° Refrigeratore </t>
  </si>
  <si>
    <t>1°step</t>
  </si>
  <si>
    <t>2° step</t>
  </si>
  <si>
    <t>fumi d'alimentazione</t>
  </si>
  <si>
    <t>pompa 1° step</t>
  </si>
  <si>
    <t>Pompa 1° step</t>
  </si>
  <si>
    <t>pompa 2° step</t>
  </si>
  <si>
    <t>Pompa 2° step</t>
  </si>
  <si>
    <r>
      <t>compressore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- espansione fumi uscita</t>
    </r>
  </si>
  <si>
    <r>
      <t>Superficie di membrana da impiegare (m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/mol</t>
    </r>
    <r>
      <rPr>
        <vertAlign val="subscript"/>
        <sz val="11"/>
        <color theme="1"/>
        <rFont val="Calibri"/>
        <family val="2"/>
        <scheme val="minor"/>
      </rPr>
      <t>CO2</t>
    </r>
    <r>
      <rPr>
        <sz val="11"/>
        <color theme="1"/>
        <rFont val="Calibri"/>
        <family val="2"/>
        <scheme val="minor"/>
      </rPr>
      <t>)</t>
    </r>
  </si>
  <si>
    <t>Membrana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</si>
  <si>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</si>
  <si>
    <t>superficie di membrana impiegata</t>
  </si>
  <si>
    <t>Superficie membrana 1° step</t>
  </si>
  <si>
    <t>Process simulation and analysis of carbon capture with an aqueous mixture of ionic liquid and monoethanolamine solvent</t>
  </si>
  <si>
    <t>Baptiste Zacchello, Eni Oko, Meihong Wang, Aloui Fethi</t>
  </si>
  <si>
    <t>Toluleke Emmanuel Akinola, Eni Oko, Meihong Wang</t>
  </si>
  <si>
    <r>
      <t>Thermodynamic Modeling and Assessment of Ionic Liquid-Based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Capture Processes</t>
    </r>
  </si>
  <si>
    <r>
      <t>Study of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removal in natural gas process using mixture of ionic liquid and MEA through process simulation</t>
    </r>
  </si>
  <si>
    <t>Ying Huang,  Xiangping Zhang, Xin Zhang, Haifeng Dong, Suojiang Zhang</t>
  </si>
  <si>
    <r>
      <t>Techno-economic evaluation of membrane and enzymatic-absorption processes for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capture from flue-gas</t>
    </r>
  </si>
  <si>
    <t>Sina Gilassi, Seyed Mohammad Taghavi, Denis Rodrigue, Serge Kaliaguine</t>
  </si>
  <si>
    <r>
      <t>PILOT TESTING OF A MEMBRANE SYSTEM FOR POSTCOMBUSTION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CAPTURE</t>
    </r>
  </si>
  <si>
    <t>Tim Merkel, Director of Research and Development (PI)</t>
  </si>
  <si>
    <t>MEMBRANE</t>
  </si>
  <si>
    <t>IN_acqua</t>
  </si>
  <si>
    <t>OUT_acqua</t>
  </si>
  <si>
    <t>GPU</t>
  </si>
  <si>
    <r>
      <t>selettività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/N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</t>
    </r>
  </si>
  <si>
    <r>
      <t>permeanza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</t>
    </r>
  </si>
  <si>
    <t>rapporto di pressione</t>
  </si>
  <si>
    <t>tipo : Polaris Gen 2</t>
  </si>
  <si>
    <t>Superficie membrana 2° step</t>
  </si>
  <si>
    <t>compressore gas alimento</t>
  </si>
  <si>
    <t>portata di solvente da re-iniettare</t>
  </si>
  <si>
    <t>compressore gas alimentazione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</si>
</sst>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00"/>
    <numFmt numFmtId="166" formatCode="0.0"/>
    <numFmt numFmtId="167" formatCode="0.00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</font>
    <font>
      <sz val="11"/>
      <name val="Calibri"/>
      <family val="2"/>
      <scheme val="minor"/>
    </font>
    <font>
      <vertAlign val="subscript"/>
      <sz val="1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07">
    <xf numFmtId="0" fontId="0" fillId="0" borderId="0" xfId="0"/>
    <xf numFmtId="0" fontId="0" fillId="0" borderId="0" xfId="0" applyAlignment="1"/>
    <xf numFmtId="0" fontId="1" fillId="0" borderId="0" xfId="0" applyFont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Border="1" applyAlignment="1"/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0" fillId="0" borderId="0" xfId="0" applyFill="1" applyBorder="1"/>
    <xf numFmtId="165" fontId="0" fillId="0" borderId="8" xfId="0" applyNumberFormat="1" applyBorder="1"/>
    <xf numFmtId="165" fontId="0" fillId="0" borderId="6" xfId="0" applyNumberFormat="1" applyBorder="1"/>
    <xf numFmtId="2" fontId="0" fillId="0" borderId="5" xfId="0" applyNumberFormat="1" applyBorder="1"/>
    <xf numFmtId="2" fontId="0" fillId="0" borderId="0" xfId="0" applyNumberFormat="1" applyBorder="1"/>
    <xf numFmtId="2" fontId="0" fillId="0" borderId="2" xfId="0" applyNumberFormat="1" applyBorder="1"/>
    <xf numFmtId="166" fontId="0" fillId="0" borderId="5" xfId="0" applyNumberFormat="1" applyBorder="1"/>
    <xf numFmtId="165" fontId="0" fillId="0" borderId="3" xfId="0" applyNumberFormat="1" applyBorder="1"/>
    <xf numFmtId="166" fontId="0" fillId="0" borderId="2" xfId="0" applyNumberFormat="1" applyBorder="1"/>
    <xf numFmtId="0" fontId="0" fillId="0" borderId="12" xfId="0" applyBorder="1" applyAlignment="1">
      <alignment horizontal="left" indent="4"/>
    </xf>
    <xf numFmtId="2" fontId="0" fillId="0" borderId="9" xfId="0" applyNumberFormat="1" applyBorder="1"/>
    <xf numFmtId="0" fontId="0" fillId="0" borderId="9" xfId="0" applyBorder="1"/>
    <xf numFmtId="2" fontId="0" fillId="0" borderId="0" xfId="0" applyNumberFormat="1" applyBorder="1" applyAlignment="1"/>
    <xf numFmtId="2" fontId="0" fillId="0" borderId="9" xfId="0" applyNumberFormat="1" applyBorder="1" applyAlignment="1"/>
    <xf numFmtId="0" fontId="0" fillId="0" borderId="0" xfId="0" applyFill="1" applyBorder="1" applyAlignment="1">
      <alignment horizontal="left" indent="4"/>
    </xf>
    <xf numFmtId="1" fontId="0" fillId="0" borderId="9" xfId="0" applyNumberFormat="1" applyBorder="1"/>
    <xf numFmtId="1" fontId="0" fillId="0" borderId="2" xfId="0" applyNumberFormat="1" applyBorder="1"/>
    <xf numFmtId="2" fontId="0" fillId="0" borderId="6" xfId="0" applyNumberFormat="1" applyBorder="1"/>
    <xf numFmtId="2" fontId="0" fillId="0" borderId="8" xfId="0" applyNumberFormat="1" applyBorder="1"/>
    <xf numFmtId="2" fontId="0" fillId="0" borderId="3" xfId="0" applyNumberFormat="1" applyBorder="1"/>
    <xf numFmtId="2" fontId="0" fillId="0" borderId="0" xfId="0" applyNumberFormat="1"/>
    <xf numFmtId="0" fontId="0" fillId="0" borderId="18" xfId="0" applyBorder="1"/>
    <xf numFmtId="0" fontId="0" fillId="0" borderId="21" xfId="0" applyBorder="1"/>
    <xf numFmtId="0" fontId="1" fillId="0" borderId="24" xfId="0" applyFont="1" applyBorder="1"/>
    <xf numFmtId="0" fontId="0" fillId="0" borderId="0" xfId="0" applyAlignment="1">
      <alignment horizontal="center"/>
    </xf>
    <xf numFmtId="0" fontId="0" fillId="7" borderId="25" xfId="0" applyFill="1" applyBorder="1"/>
    <xf numFmtId="0" fontId="0" fillId="0" borderId="25" xfId="0" applyBorder="1"/>
    <xf numFmtId="0" fontId="4" fillId="0" borderId="25" xfId="0" applyFont="1" applyBorder="1"/>
    <xf numFmtId="0" fontId="0" fillId="0" borderId="22" xfId="0" applyBorder="1"/>
    <xf numFmtId="0" fontId="0" fillId="0" borderId="16" xfId="0" applyBorder="1"/>
    <xf numFmtId="0" fontId="0" fillId="0" borderId="19" xfId="0" applyBorder="1"/>
    <xf numFmtId="0" fontId="1" fillId="0" borderId="9" xfId="0" applyFont="1" applyBorder="1"/>
    <xf numFmtId="0" fontId="1" fillId="7" borderId="0" xfId="0" applyFont="1" applyFill="1" applyAlignment="1"/>
    <xf numFmtId="0" fontId="0" fillId="0" borderId="25" xfId="0" applyBorder="1" applyAlignment="1">
      <alignment horizontal="left" indent="3"/>
    </xf>
    <xf numFmtId="0" fontId="0" fillId="0" borderId="25" xfId="0" applyBorder="1" applyAlignment="1">
      <alignment horizontal="left" indent="4"/>
    </xf>
    <xf numFmtId="0" fontId="0" fillId="0" borderId="25" xfId="0" applyFill="1" applyBorder="1"/>
    <xf numFmtId="0" fontId="0" fillId="0" borderId="0" xfId="0" applyBorder="1" applyAlignment="1">
      <alignment horizontal="left" indent="3"/>
    </xf>
    <xf numFmtId="0" fontId="0" fillId="0" borderId="25" xfId="0" applyBorder="1" applyAlignment="1"/>
    <xf numFmtId="165" fontId="0" fillId="0" borderId="0" xfId="0" applyNumberFormat="1" applyBorder="1"/>
    <xf numFmtId="0" fontId="0" fillId="0" borderId="23" xfId="0" applyBorder="1" applyAlignment="1">
      <alignment horizontal="left" indent="2"/>
    </xf>
    <xf numFmtId="0" fontId="0" fillId="0" borderId="17" xfId="0" applyBorder="1" applyAlignment="1">
      <alignment horizontal="left" indent="2"/>
    </xf>
    <xf numFmtId="0" fontId="0" fillId="0" borderId="20" xfId="0" applyBorder="1" applyAlignment="1">
      <alignment horizontal="left" indent="2"/>
    </xf>
    <xf numFmtId="0" fontId="0" fillId="0" borderId="13" xfId="0" applyBorder="1" applyAlignment="1">
      <alignment horizontal="left" indent="3"/>
    </xf>
    <xf numFmtId="0" fontId="0" fillId="0" borderId="15" xfId="0" applyBorder="1" applyAlignment="1">
      <alignment horizontal="left" indent="3"/>
    </xf>
    <xf numFmtId="0" fontId="0" fillId="0" borderId="27" xfId="0" applyBorder="1"/>
    <xf numFmtId="0" fontId="0" fillId="7" borderId="25" xfId="0" applyFill="1" applyBorder="1" applyAlignment="1"/>
    <xf numFmtId="0" fontId="0" fillId="0" borderId="2" xfId="0" applyFill="1" applyBorder="1"/>
    <xf numFmtId="2" fontId="0" fillId="0" borderId="2" xfId="0" applyNumberFormat="1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2" fontId="0" fillId="0" borderId="5" xfId="0" applyNumberFormat="1" applyFill="1" applyBorder="1"/>
    <xf numFmtId="0" fontId="0" fillId="0" borderId="25" xfId="0" applyFill="1" applyBorder="1" applyAlignment="1"/>
    <xf numFmtId="0" fontId="0" fillId="7" borderId="26" xfId="0" applyFill="1" applyBorder="1" applyAlignment="1"/>
    <xf numFmtId="0" fontId="0" fillId="0" borderId="12" xfId="0" applyBorder="1"/>
    <xf numFmtId="2" fontId="0" fillId="0" borderId="24" xfId="0" applyNumberFormat="1" applyBorder="1"/>
    <xf numFmtId="165" fontId="0" fillId="0" borderId="25" xfId="0" applyNumberFormat="1" applyBorder="1"/>
    <xf numFmtId="1" fontId="0" fillId="0" borderId="0" xfId="0" applyNumberFormat="1" applyBorder="1"/>
    <xf numFmtId="165" fontId="0" fillId="0" borderId="0" xfId="0" applyNumberFormat="1" applyFont="1"/>
    <xf numFmtId="0" fontId="0" fillId="0" borderId="23" xfId="0" applyBorder="1"/>
    <xf numFmtId="0" fontId="0" fillId="0" borderId="20" xfId="0" applyBorder="1"/>
    <xf numFmtId="0" fontId="0" fillId="0" borderId="26" xfId="0" applyBorder="1"/>
    <xf numFmtId="0" fontId="0" fillId="0" borderId="0" xfId="0" applyFill="1"/>
    <xf numFmtId="0" fontId="0" fillId="2" borderId="25" xfId="0" applyFill="1" applyBorder="1"/>
    <xf numFmtId="2" fontId="0" fillId="2" borderId="25" xfId="0" applyNumberFormat="1" applyFill="1" applyBorder="1"/>
    <xf numFmtId="0" fontId="1" fillId="0" borderId="25" xfId="0" applyFont="1" applyBorder="1"/>
    <xf numFmtId="0" fontId="4" fillId="0" borderId="25" xfId="0" applyFont="1" applyBorder="1" applyAlignment="1">
      <alignment horizontal="left" indent="2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6" fillId="7" borderId="25" xfId="0" applyFont="1" applyFill="1" applyBorder="1"/>
    <xf numFmtId="0" fontId="0" fillId="0" borderId="10" xfId="0" applyBorder="1" applyAlignment="1"/>
    <xf numFmtId="2" fontId="0" fillId="0" borderId="13" xfId="0" applyNumberFormat="1" applyBorder="1"/>
    <xf numFmtId="0" fontId="0" fillId="0" borderId="9" xfId="0" applyBorder="1" applyAlignment="1">
      <alignment horizontal="left" indent="4"/>
    </xf>
    <xf numFmtId="2" fontId="0" fillId="0" borderId="24" xfId="0" applyNumberFormat="1" applyBorder="1" applyAlignment="1">
      <alignment horizontal="left" indent="4"/>
    </xf>
    <xf numFmtId="164" fontId="0" fillId="0" borderId="28" xfId="0" applyNumberFormat="1" applyBorder="1" applyAlignment="1">
      <alignment horizontal="left" indent="4"/>
    </xf>
    <xf numFmtId="2" fontId="0" fillId="0" borderId="9" xfId="0" applyNumberFormat="1" applyBorder="1" applyAlignment="1">
      <alignment horizontal="left" indent="4"/>
    </xf>
    <xf numFmtId="1" fontId="0" fillId="0" borderId="5" xfId="0" applyNumberFormat="1" applyBorder="1"/>
    <xf numFmtId="2" fontId="0" fillId="2" borderId="14" xfId="0" applyNumberFormat="1" applyFill="1" applyBorder="1"/>
    <xf numFmtId="2" fontId="0" fillId="0" borderId="0" xfId="0" applyNumberFormat="1" applyBorder="1" applyAlignment="1">
      <alignment horizontal="center"/>
    </xf>
    <xf numFmtId="2" fontId="0" fillId="0" borderId="0" xfId="0" applyNumberFormat="1" applyFill="1" applyBorder="1"/>
    <xf numFmtId="0" fontId="0" fillId="0" borderId="25" xfId="0" applyBorder="1" applyAlignment="1">
      <alignment horizontal="left" indent="2"/>
    </xf>
    <xf numFmtId="167" fontId="0" fillId="0" borderId="0" xfId="0" applyNumberFormat="1" applyFill="1" applyBorder="1" applyAlignment="1">
      <alignment horizontal="left" indent="11"/>
    </xf>
    <xf numFmtId="0" fontId="0" fillId="0" borderId="7" xfId="0" applyBorder="1" applyAlignment="1"/>
    <xf numFmtId="1" fontId="0" fillId="0" borderId="2" xfId="0" applyNumberFormat="1" applyFill="1" applyBorder="1"/>
    <xf numFmtId="0" fontId="1" fillId="3" borderId="0" xfId="0" applyFont="1" applyFill="1"/>
    <xf numFmtId="0" fontId="1" fillId="4" borderId="9" xfId="0" applyFont="1" applyFill="1" applyBorder="1"/>
    <xf numFmtId="0" fontId="1" fillId="4" borderId="0" xfId="0" applyFont="1" applyFill="1"/>
    <xf numFmtId="0" fontId="0" fillId="7" borderId="9" xfId="0" applyFill="1" applyBorder="1"/>
    <xf numFmtId="0" fontId="0" fillId="7" borderId="29" xfId="0" applyFill="1" applyBorder="1"/>
    <xf numFmtId="0" fontId="0" fillId="7" borderId="30" xfId="0" applyFill="1" applyBorder="1"/>
    <xf numFmtId="0" fontId="0" fillId="2" borderId="9" xfId="0" applyFill="1" applyBorder="1"/>
    <xf numFmtId="2" fontId="0" fillId="2" borderId="9" xfId="0" applyNumberFormat="1" applyFill="1" applyBorder="1"/>
    <xf numFmtId="2" fontId="0" fillId="2" borderId="29" xfId="0" applyNumberFormat="1" applyFill="1" applyBorder="1"/>
    <xf numFmtId="2" fontId="0" fillId="2" borderId="31" xfId="0" applyNumberFormat="1" applyFill="1" applyBorder="1"/>
    <xf numFmtId="2" fontId="0" fillId="2" borderId="31" xfId="0" applyNumberFormat="1" applyFill="1" applyBorder="1" applyAlignment="1">
      <alignment horizontal="left" indent="11"/>
    </xf>
    <xf numFmtId="2" fontId="0" fillId="2" borderId="10" xfId="0" applyNumberFormat="1" applyFill="1" applyBorder="1" applyAlignment="1"/>
    <xf numFmtId="1" fontId="0" fillId="2" borderId="28" xfId="0" applyNumberFormat="1" applyFill="1" applyBorder="1" applyAlignment="1"/>
    <xf numFmtId="2" fontId="0" fillId="2" borderId="9" xfId="0" applyNumberFormat="1" applyFill="1" applyBorder="1" applyAlignment="1"/>
    <xf numFmtId="2" fontId="0" fillId="2" borderId="12" xfId="0" applyNumberFormat="1" applyFont="1" applyFill="1" applyBorder="1" applyAlignment="1"/>
    <xf numFmtId="2" fontId="0" fillId="2" borderId="24" xfId="0" applyNumberFormat="1" applyFill="1" applyBorder="1" applyAlignment="1"/>
    <xf numFmtId="2" fontId="0" fillId="2" borderId="12" xfId="0" applyNumberFormat="1" applyFill="1" applyBorder="1" applyAlignment="1"/>
    <xf numFmtId="165" fontId="0" fillId="2" borderId="31" xfId="0" applyNumberFormat="1" applyFill="1" applyBorder="1" applyAlignment="1">
      <alignment horizontal="left" indent="5"/>
    </xf>
    <xf numFmtId="0" fontId="1" fillId="0" borderId="0" xfId="0" applyFont="1" applyBorder="1"/>
    <xf numFmtId="0" fontId="0" fillId="0" borderId="0" xfId="0" applyFill="1" applyBorder="1" applyAlignment="1">
      <alignment horizontal="center"/>
    </xf>
    <xf numFmtId="166" fontId="0" fillId="0" borderId="5" xfId="0" applyNumberFormat="1" applyFill="1" applyBorder="1"/>
    <xf numFmtId="0" fontId="0" fillId="0" borderId="10" xfId="0" applyBorder="1"/>
    <xf numFmtId="0" fontId="0" fillId="0" borderId="12" xfId="0" applyBorder="1" applyAlignment="1">
      <alignment horizontal="left" indent="2"/>
    </xf>
    <xf numFmtId="165" fontId="0" fillId="0" borderId="9" xfId="0" applyNumberFormat="1" applyBorder="1"/>
    <xf numFmtId="0" fontId="0" fillId="0" borderId="12" xfId="0" applyBorder="1" applyAlignment="1">
      <alignment horizontal="left" indent="3"/>
    </xf>
    <xf numFmtId="0" fontId="0" fillId="0" borderId="28" xfId="0" applyBorder="1"/>
    <xf numFmtId="0" fontId="0" fillId="0" borderId="0" xfId="0" applyBorder="1" applyAlignment="1">
      <alignment horizontal="left" indent="2"/>
    </xf>
    <xf numFmtId="0" fontId="0" fillId="0" borderId="18" xfId="0" applyFill="1" applyBorder="1"/>
    <xf numFmtId="0" fontId="0" fillId="0" borderId="20" xfId="0" applyFill="1" applyBorder="1" applyAlignment="1">
      <alignment horizontal="left" indent="2"/>
    </xf>
    <xf numFmtId="166" fontId="0" fillId="0" borderId="9" xfId="0" applyNumberFormat="1" applyBorder="1"/>
    <xf numFmtId="166" fontId="0" fillId="0" borderId="12" xfId="0" applyNumberFormat="1" applyBorder="1"/>
    <xf numFmtId="0" fontId="0" fillId="0" borderId="12" xfId="0" applyBorder="1" applyAlignment="1">
      <alignment horizontal="left" indent="6"/>
    </xf>
    <xf numFmtId="166" fontId="0" fillId="2" borderId="25" xfId="0" applyNumberFormat="1" applyFill="1" applyBorder="1"/>
    <xf numFmtId="166" fontId="0" fillId="0" borderId="9" xfId="0" applyNumberFormat="1" applyBorder="1" applyAlignment="1"/>
    <xf numFmtId="166" fontId="0" fillId="2" borderId="29" xfId="0" applyNumberFormat="1" applyFill="1" applyBorder="1"/>
    <xf numFmtId="0" fontId="1" fillId="0" borderId="0" xfId="0" applyFont="1" applyFill="1" applyAlignment="1">
      <alignment horizontal="center"/>
    </xf>
    <xf numFmtId="0" fontId="1" fillId="0" borderId="24" xfId="0" applyFont="1" applyFill="1" applyBorder="1" applyAlignment="1">
      <alignment horizontal="center"/>
    </xf>
    <xf numFmtId="11" fontId="0" fillId="2" borderId="25" xfId="0" applyNumberFormat="1" applyFill="1" applyBorder="1"/>
    <xf numFmtId="11" fontId="0" fillId="2" borderId="9" xfId="0" applyNumberFormat="1" applyFill="1" applyBorder="1"/>
    <xf numFmtId="0" fontId="0" fillId="0" borderId="21" xfId="0" applyFill="1" applyBorder="1"/>
    <xf numFmtId="2" fontId="0" fillId="2" borderId="6" xfId="0" applyNumberFormat="1" applyFill="1" applyBorder="1"/>
    <xf numFmtId="1" fontId="0" fillId="0" borderId="0" xfId="0" applyNumberFormat="1" applyFill="1" applyBorder="1"/>
    <xf numFmtId="166" fontId="0" fillId="2" borderId="0" xfId="0" applyNumberFormat="1" applyFill="1" applyBorder="1"/>
    <xf numFmtId="0" fontId="0" fillId="0" borderId="7" xfId="0" applyFill="1" applyBorder="1"/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left" indent="7"/>
    </xf>
    <xf numFmtId="166" fontId="0" fillId="0" borderId="2" xfId="0" applyNumberFormat="1" applyFill="1" applyBorder="1"/>
    <xf numFmtId="0" fontId="0" fillId="0" borderId="0" xfId="0" applyBorder="1" applyAlignment="1">
      <alignment horizontal="left" indent="5"/>
    </xf>
    <xf numFmtId="165" fontId="0" fillId="0" borderId="19" xfId="0" applyNumberFormat="1" applyBorder="1"/>
    <xf numFmtId="165" fontId="0" fillId="0" borderId="5" xfId="0" applyNumberFormat="1" applyFill="1" applyBorder="1"/>
    <xf numFmtId="0" fontId="0" fillId="0" borderId="0" xfId="0" applyFill="1" applyBorder="1" applyAlignment="1"/>
    <xf numFmtId="11" fontId="0" fillId="0" borderId="0" xfId="0" applyNumberFormat="1"/>
    <xf numFmtId="0" fontId="1" fillId="0" borderId="0" xfId="0" applyFont="1" applyBorder="1" applyAlignment="1"/>
    <xf numFmtId="0" fontId="0" fillId="0" borderId="17" xfId="0" applyBorder="1"/>
    <xf numFmtId="11" fontId="0" fillId="0" borderId="0" xfId="0" applyNumberFormat="1" applyBorder="1"/>
    <xf numFmtId="0" fontId="0" fillId="0" borderId="0" xfId="0" quotePrefix="1" applyFill="1" applyBorder="1"/>
    <xf numFmtId="0" fontId="0" fillId="0" borderId="0" xfId="0" quotePrefix="1" applyFill="1" applyBorder="1" applyAlignment="1"/>
    <xf numFmtId="0" fontId="1" fillId="0" borderId="0" xfId="0" applyFont="1" applyFill="1" applyBorder="1" applyAlignment="1"/>
    <xf numFmtId="0" fontId="0" fillId="0" borderId="0" xfId="0" applyNumberFormat="1"/>
    <xf numFmtId="0" fontId="4" fillId="0" borderId="25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1" fillId="3" borderId="0" xfId="0" applyFont="1" applyFill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7" xfId="0" applyBorder="1" applyAlignment="1">
      <alignment horizontal="center"/>
    </xf>
    <xf numFmtId="165" fontId="0" fillId="2" borderId="25" xfId="0" applyNumberFormat="1" applyFill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7" borderId="25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6" fillId="6" borderId="13" xfId="0" applyFont="1" applyFill="1" applyBorder="1" applyAlignment="1">
      <alignment horizontal="center"/>
    </xf>
    <xf numFmtId="0" fontId="6" fillId="6" borderId="14" xfId="0" applyFont="1" applyFill="1" applyBorder="1" applyAlignment="1">
      <alignment horizontal="center"/>
    </xf>
    <xf numFmtId="0" fontId="6" fillId="6" borderId="15" xfId="0" applyFont="1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5" borderId="13" xfId="0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25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6" borderId="13" xfId="0" applyFill="1" applyBorder="1" applyAlignment="1">
      <alignment horizontal="center"/>
    </xf>
    <xf numFmtId="0" fontId="0" fillId="6" borderId="14" xfId="0" applyFill="1" applyBorder="1" applyAlignment="1">
      <alignment horizontal="center"/>
    </xf>
    <xf numFmtId="0" fontId="0" fillId="6" borderId="15" xfId="0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1" fontId="0" fillId="0" borderId="25" xfId="0" applyNumberFormat="1" applyBorder="1" applyAlignment="1">
      <alignment horizontal="center"/>
    </xf>
    <xf numFmtId="0" fontId="0" fillId="0" borderId="32" xfId="0" applyBorder="1" applyAlignment="1">
      <alignment horizontal="center"/>
    </xf>
    <xf numFmtId="0" fontId="6" fillId="6" borderId="26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25" xfId="0" applyFont="1" applyFill="1" applyBorder="1" applyAlignment="1">
      <alignment horizontal="center"/>
    </xf>
    <xf numFmtId="0" fontId="1" fillId="0" borderId="25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DAA600"/>
      <color rgb="FF8D3533"/>
      <color rgb="FFF424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20.png"/><Relationship Id="rId3" Type="http://schemas.openxmlformats.org/officeDocument/2006/relationships/image" Target="../media/image15.png"/><Relationship Id="rId7" Type="http://schemas.openxmlformats.org/officeDocument/2006/relationships/image" Target="../media/image19.png"/><Relationship Id="rId2" Type="http://schemas.openxmlformats.org/officeDocument/2006/relationships/image" Target="../media/image14.png"/><Relationship Id="rId1" Type="http://schemas.openxmlformats.org/officeDocument/2006/relationships/image" Target="../media/image13.png"/><Relationship Id="rId6" Type="http://schemas.openxmlformats.org/officeDocument/2006/relationships/image" Target="../media/image18.png"/><Relationship Id="rId5" Type="http://schemas.openxmlformats.org/officeDocument/2006/relationships/image" Target="../media/image17.png"/><Relationship Id="rId10" Type="http://schemas.openxmlformats.org/officeDocument/2006/relationships/image" Target="../media/image12.png"/><Relationship Id="rId4" Type="http://schemas.openxmlformats.org/officeDocument/2006/relationships/image" Target="../media/image16.png"/><Relationship Id="rId9" Type="http://schemas.openxmlformats.org/officeDocument/2006/relationships/image" Target="../media/image21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29.png"/><Relationship Id="rId3" Type="http://schemas.openxmlformats.org/officeDocument/2006/relationships/image" Target="../media/image24.png"/><Relationship Id="rId7" Type="http://schemas.openxmlformats.org/officeDocument/2006/relationships/image" Target="../media/image28.png"/><Relationship Id="rId2" Type="http://schemas.openxmlformats.org/officeDocument/2006/relationships/image" Target="../media/image23.png"/><Relationship Id="rId1" Type="http://schemas.openxmlformats.org/officeDocument/2006/relationships/image" Target="../media/image22.png"/><Relationship Id="rId6" Type="http://schemas.openxmlformats.org/officeDocument/2006/relationships/image" Target="../media/image27.png"/><Relationship Id="rId5" Type="http://schemas.openxmlformats.org/officeDocument/2006/relationships/image" Target="../media/image26.png"/><Relationship Id="rId10" Type="http://schemas.openxmlformats.org/officeDocument/2006/relationships/image" Target="../media/image31.png"/><Relationship Id="rId4" Type="http://schemas.openxmlformats.org/officeDocument/2006/relationships/image" Target="../media/image25.png"/><Relationship Id="rId9" Type="http://schemas.openxmlformats.org/officeDocument/2006/relationships/image" Target="../media/image3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59055</xdr:colOff>
      <xdr:row>59</xdr:row>
      <xdr:rowOff>21076</xdr:rowOff>
    </xdr:from>
    <xdr:to>
      <xdr:col>28</xdr:col>
      <xdr:colOff>319677</xdr:colOff>
      <xdr:row>62</xdr:row>
      <xdr:rowOff>134026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1CAB08B1-DD08-4986-A749-FADCB7A6FB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482155" y="10193776"/>
          <a:ext cx="2178956" cy="695034"/>
        </a:xfrm>
        <a:prstGeom prst="rect">
          <a:avLst/>
        </a:prstGeom>
      </xdr:spPr>
    </xdr:pic>
    <xdr:clientData/>
  </xdr:twoCellAnchor>
  <xdr:twoCellAnchor editAs="oneCell">
    <xdr:from>
      <xdr:col>8</xdr:col>
      <xdr:colOff>20319</xdr:colOff>
      <xdr:row>30</xdr:row>
      <xdr:rowOff>55880</xdr:rowOff>
    </xdr:from>
    <xdr:to>
      <xdr:col>11</xdr:col>
      <xdr:colOff>197291</xdr:colOff>
      <xdr:row>43</xdr:row>
      <xdr:rowOff>176350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B54F8B6E-1C70-4D88-B9C6-C7B7B57BD7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70499" y="4757420"/>
          <a:ext cx="2826827" cy="2534920"/>
        </a:xfrm>
        <a:prstGeom prst="rect">
          <a:avLst/>
        </a:prstGeom>
      </xdr:spPr>
    </xdr:pic>
    <xdr:clientData/>
  </xdr:twoCellAnchor>
  <xdr:twoCellAnchor editAs="oneCell">
    <xdr:from>
      <xdr:col>21</xdr:col>
      <xdr:colOff>235131</xdr:colOff>
      <xdr:row>6</xdr:row>
      <xdr:rowOff>130628</xdr:rowOff>
    </xdr:from>
    <xdr:to>
      <xdr:col>24</xdr:col>
      <xdr:colOff>85841</xdr:colOff>
      <xdr:row>15</xdr:row>
      <xdr:rowOff>155120</xdr:rowOff>
    </xdr:to>
    <xdr:pic>
      <xdr:nvPicPr>
        <xdr:cNvPr id="21" name="Immagine 20">
          <a:extLst>
            <a:ext uri="{FF2B5EF4-FFF2-40B4-BE49-F238E27FC236}">
              <a16:creationId xmlns:a16="http://schemas.microsoft.com/office/drawing/2014/main" id="{6DBEEBD5-3B8B-484E-A1D0-FA7AD139DF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72271" y="1319348"/>
          <a:ext cx="2936810" cy="1716132"/>
        </a:xfrm>
        <a:prstGeom prst="rect">
          <a:avLst/>
        </a:prstGeom>
      </xdr:spPr>
    </xdr:pic>
    <xdr:clientData/>
  </xdr:twoCellAnchor>
  <xdr:twoCellAnchor editAs="oneCell">
    <xdr:from>
      <xdr:col>22</xdr:col>
      <xdr:colOff>735029</xdr:colOff>
      <xdr:row>21</xdr:row>
      <xdr:rowOff>49440</xdr:rowOff>
    </xdr:from>
    <xdr:to>
      <xdr:col>24</xdr:col>
      <xdr:colOff>773854</xdr:colOff>
      <xdr:row>29</xdr:row>
      <xdr:rowOff>193598</xdr:rowOff>
    </xdr:to>
    <xdr:pic>
      <xdr:nvPicPr>
        <xdr:cNvPr id="23" name="Immagine 22">
          <a:extLst>
            <a:ext uri="{FF2B5EF4-FFF2-40B4-BE49-F238E27FC236}">
              <a16:creationId xmlns:a16="http://schemas.microsoft.com/office/drawing/2014/main" id="{616E726B-91C1-41E7-B235-2C23B108E0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16109" y="4011840"/>
          <a:ext cx="2080985" cy="1637678"/>
        </a:xfrm>
        <a:prstGeom prst="rect">
          <a:avLst/>
        </a:prstGeom>
      </xdr:spPr>
    </xdr:pic>
    <xdr:clientData/>
  </xdr:twoCellAnchor>
  <xdr:twoCellAnchor editAs="oneCell">
    <xdr:from>
      <xdr:col>14</xdr:col>
      <xdr:colOff>875211</xdr:colOff>
      <xdr:row>41</xdr:row>
      <xdr:rowOff>15784</xdr:rowOff>
    </xdr:from>
    <xdr:to>
      <xdr:col>16</xdr:col>
      <xdr:colOff>121106</xdr:colOff>
      <xdr:row>51</xdr:row>
      <xdr:rowOff>31784</xdr:rowOff>
    </xdr:to>
    <xdr:pic>
      <xdr:nvPicPr>
        <xdr:cNvPr id="25" name="Immagine 24">
          <a:extLst>
            <a:ext uri="{FF2B5EF4-FFF2-40B4-BE49-F238E27FC236}">
              <a16:creationId xmlns:a16="http://schemas.microsoft.com/office/drawing/2014/main" id="{4D9CA5AD-6947-4CBF-9B0F-862FE822B3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24611" y="7727224"/>
          <a:ext cx="1928135" cy="1882900"/>
        </a:xfrm>
        <a:prstGeom prst="rect">
          <a:avLst/>
        </a:prstGeom>
      </xdr:spPr>
    </xdr:pic>
    <xdr:clientData/>
  </xdr:twoCellAnchor>
  <xdr:twoCellAnchor editAs="oneCell">
    <xdr:from>
      <xdr:col>11</xdr:col>
      <xdr:colOff>877509</xdr:colOff>
      <xdr:row>28</xdr:row>
      <xdr:rowOff>175745</xdr:rowOff>
    </xdr:from>
    <xdr:to>
      <xdr:col>13</xdr:col>
      <xdr:colOff>134004</xdr:colOff>
      <xdr:row>36</xdr:row>
      <xdr:rowOff>133108</xdr:rowOff>
    </xdr:to>
    <xdr:pic>
      <xdr:nvPicPr>
        <xdr:cNvPr id="27" name="Immagine 26">
          <a:extLst>
            <a:ext uri="{FF2B5EF4-FFF2-40B4-BE49-F238E27FC236}">
              <a16:creationId xmlns:a16="http://schemas.microsoft.com/office/drawing/2014/main" id="{2860DB78-8452-49F3-93AF-C5A5C59F6E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29329" y="5456405"/>
          <a:ext cx="1740615" cy="1488983"/>
        </a:xfrm>
        <a:prstGeom prst="rect">
          <a:avLst/>
        </a:prstGeom>
      </xdr:spPr>
    </xdr:pic>
    <xdr:clientData/>
  </xdr:twoCellAnchor>
  <xdr:twoCellAnchor editAs="oneCell">
    <xdr:from>
      <xdr:col>13</xdr:col>
      <xdr:colOff>140423</xdr:colOff>
      <xdr:row>29</xdr:row>
      <xdr:rowOff>161108</xdr:rowOff>
    </xdr:from>
    <xdr:to>
      <xdr:col>14</xdr:col>
      <xdr:colOff>1222827</xdr:colOff>
      <xdr:row>37</xdr:row>
      <xdr:rowOff>130999</xdr:rowOff>
    </xdr:to>
    <xdr:pic>
      <xdr:nvPicPr>
        <xdr:cNvPr id="29" name="Immagine 28">
          <a:extLst>
            <a:ext uri="{FF2B5EF4-FFF2-40B4-BE49-F238E27FC236}">
              <a16:creationId xmlns:a16="http://schemas.microsoft.com/office/drawing/2014/main" id="{739F5B40-15C8-4604-AC5E-5EA19B189B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76363" y="5617028"/>
          <a:ext cx="2095864" cy="1493891"/>
        </a:xfrm>
        <a:prstGeom prst="rect">
          <a:avLst/>
        </a:prstGeom>
      </xdr:spPr>
    </xdr:pic>
    <xdr:clientData/>
  </xdr:twoCellAnchor>
  <xdr:twoCellAnchor editAs="oneCell">
    <xdr:from>
      <xdr:col>11</xdr:col>
      <xdr:colOff>659070</xdr:colOff>
      <xdr:row>47</xdr:row>
      <xdr:rowOff>6531</xdr:rowOff>
    </xdr:from>
    <xdr:to>
      <xdr:col>12</xdr:col>
      <xdr:colOff>1372162</xdr:colOff>
      <xdr:row>55</xdr:row>
      <xdr:rowOff>176953</xdr:rowOff>
    </xdr:to>
    <xdr:pic>
      <xdr:nvPicPr>
        <xdr:cNvPr id="31" name="Immagine 30">
          <a:extLst>
            <a:ext uri="{FF2B5EF4-FFF2-40B4-BE49-F238E27FC236}">
              <a16:creationId xmlns:a16="http://schemas.microsoft.com/office/drawing/2014/main" id="{3BA978DE-5CF8-4F85-8985-9FF313B7D8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20203" y="8930398"/>
          <a:ext cx="1805292" cy="1729135"/>
        </a:xfrm>
        <a:prstGeom prst="rect">
          <a:avLst/>
        </a:prstGeom>
      </xdr:spPr>
    </xdr:pic>
    <xdr:clientData/>
  </xdr:twoCellAnchor>
  <xdr:twoCellAnchor editAs="oneCell">
    <xdr:from>
      <xdr:col>22</xdr:col>
      <xdr:colOff>261257</xdr:colOff>
      <xdr:row>32</xdr:row>
      <xdr:rowOff>126114</xdr:rowOff>
    </xdr:from>
    <xdr:to>
      <xdr:col>25</xdr:col>
      <xdr:colOff>235370</xdr:colOff>
      <xdr:row>51</xdr:row>
      <xdr:rowOff>108123</xdr:rowOff>
    </xdr:to>
    <xdr:pic>
      <xdr:nvPicPr>
        <xdr:cNvPr id="33" name="Immagine 32">
          <a:extLst>
            <a:ext uri="{FF2B5EF4-FFF2-40B4-BE49-F238E27FC236}">
              <a16:creationId xmlns:a16="http://schemas.microsoft.com/office/drawing/2014/main" id="{12E01ED0-0C81-4B61-812E-88C3EBE722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42337" y="6184014"/>
          <a:ext cx="2945913" cy="3502449"/>
        </a:xfrm>
        <a:prstGeom prst="rect">
          <a:avLst/>
        </a:prstGeom>
      </xdr:spPr>
    </xdr:pic>
    <xdr:clientData/>
  </xdr:twoCellAnchor>
  <xdr:twoCellAnchor editAs="oneCell">
    <xdr:from>
      <xdr:col>0</xdr:col>
      <xdr:colOff>542169</xdr:colOff>
      <xdr:row>11</xdr:row>
      <xdr:rowOff>56483</xdr:rowOff>
    </xdr:from>
    <xdr:to>
      <xdr:col>2</xdr:col>
      <xdr:colOff>609600</xdr:colOff>
      <xdr:row>24</xdr:row>
      <xdr:rowOff>121651</xdr:rowOff>
    </xdr:to>
    <xdr:pic>
      <xdr:nvPicPr>
        <xdr:cNvPr id="42" name="Immagine 41">
          <a:extLst>
            <a:ext uri="{FF2B5EF4-FFF2-40B4-BE49-F238E27FC236}">
              <a16:creationId xmlns:a16="http://schemas.microsoft.com/office/drawing/2014/main" id="{714FED6A-938A-4795-BEFF-EC961F99B0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2169" y="2199608"/>
          <a:ext cx="2191506" cy="2436893"/>
        </a:xfrm>
        <a:prstGeom prst="rect">
          <a:avLst/>
        </a:prstGeom>
      </xdr:spPr>
    </xdr:pic>
    <xdr:clientData/>
  </xdr:twoCellAnchor>
  <xdr:twoCellAnchor>
    <xdr:from>
      <xdr:col>9</xdr:col>
      <xdr:colOff>499533</xdr:colOff>
      <xdr:row>42</xdr:row>
      <xdr:rowOff>8466</xdr:rowOff>
    </xdr:from>
    <xdr:to>
      <xdr:col>9</xdr:col>
      <xdr:colOff>516467</xdr:colOff>
      <xdr:row>49</xdr:row>
      <xdr:rowOff>186267</xdr:rowOff>
    </xdr:to>
    <xdr:cxnSp macro="">
      <xdr:nvCxnSpPr>
        <xdr:cNvPr id="44" name="Connettore diritto 43">
          <a:extLst>
            <a:ext uri="{FF2B5EF4-FFF2-40B4-BE49-F238E27FC236}">
              <a16:creationId xmlns:a16="http://schemas.microsoft.com/office/drawing/2014/main" id="{177B900D-04D7-4A2F-ACFE-606E970D867E}"/>
            </a:ext>
          </a:extLst>
        </xdr:cNvPr>
        <xdr:cNvCxnSpPr/>
      </xdr:nvCxnSpPr>
      <xdr:spPr>
        <a:xfrm flipH="1">
          <a:off x="9525000" y="7992533"/>
          <a:ext cx="16934" cy="1507067"/>
        </a:xfrm>
        <a:prstGeom prst="line">
          <a:avLst/>
        </a:prstGeom>
        <a:ln w="44450">
          <a:solidFill>
            <a:srgbClr val="8D3533"/>
          </a:solidFill>
          <a:headEnd w="sm" len="sm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1041400</xdr:colOff>
      <xdr:row>51</xdr:row>
      <xdr:rowOff>125307</xdr:rowOff>
    </xdr:from>
    <xdr:to>
      <xdr:col>11</xdr:col>
      <xdr:colOff>1076114</xdr:colOff>
      <xdr:row>51</xdr:row>
      <xdr:rowOff>125307</xdr:rowOff>
    </xdr:to>
    <xdr:cxnSp macro="">
      <xdr:nvCxnSpPr>
        <xdr:cNvPr id="48" name="Connettore diritto 47">
          <a:extLst>
            <a:ext uri="{FF2B5EF4-FFF2-40B4-BE49-F238E27FC236}">
              <a16:creationId xmlns:a16="http://schemas.microsoft.com/office/drawing/2014/main" id="{99CF898F-F6E3-4917-A6B1-21275ABA47B7}"/>
            </a:ext>
          </a:extLst>
        </xdr:cNvPr>
        <xdr:cNvCxnSpPr/>
      </xdr:nvCxnSpPr>
      <xdr:spPr>
        <a:xfrm>
          <a:off x="10055860" y="9703647"/>
          <a:ext cx="1772074" cy="0"/>
        </a:xfrm>
        <a:prstGeom prst="line">
          <a:avLst/>
        </a:prstGeom>
        <a:ln w="44450">
          <a:solidFill>
            <a:srgbClr val="8D3533"/>
          </a:solidFill>
          <a:headEnd w="sm" len="sm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999067</xdr:colOff>
      <xdr:row>47</xdr:row>
      <xdr:rowOff>169333</xdr:rowOff>
    </xdr:from>
    <xdr:to>
      <xdr:col>12</xdr:col>
      <xdr:colOff>1016003</xdr:colOff>
      <xdr:row>50</xdr:row>
      <xdr:rowOff>152400</xdr:rowOff>
    </xdr:to>
    <xdr:cxnSp macro="">
      <xdr:nvCxnSpPr>
        <xdr:cNvPr id="52" name="Connettore diritto 51">
          <a:extLst>
            <a:ext uri="{FF2B5EF4-FFF2-40B4-BE49-F238E27FC236}">
              <a16:creationId xmlns:a16="http://schemas.microsoft.com/office/drawing/2014/main" id="{91A0135E-85DB-4BCC-BA0D-7BF7339EE0D7}"/>
            </a:ext>
          </a:extLst>
        </xdr:cNvPr>
        <xdr:cNvCxnSpPr/>
      </xdr:nvCxnSpPr>
      <xdr:spPr>
        <a:xfrm flipH="1">
          <a:off x="12852400" y="9093200"/>
          <a:ext cx="16936" cy="567267"/>
        </a:xfrm>
        <a:prstGeom prst="line">
          <a:avLst/>
        </a:prstGeom>
        <a:ln w="44450">
          <a:solidFill>
            <a:srgbClr val="8D3533"/>
          </a:solidFill>
          <a:headEnd w="sm" len="sm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990601</xdr:colOff>
      <xdr:row>47</xdr:row>
      <xdr:rowOff>129540</xdr:rowOff>
    </xdr:from>
    <xdr:to>
      <xdr:col>14</xdr:col>
      <xdr:colOff>1173480</xdr:colOff>
      <xdr:row>47</xdr:row>
      <xdr:rowOff>144780</xdr:rowOff>
    </xdr:to>
    <xdr:cxnSp macro="">
      <xdr:nvCxnSpPr>
        <xdr:cNvPr id="55" name="Connettore diritto 54">
          <a:extLst>
            <a:ext uri="{FF2B5EF4-FFF2-40B4-BE49-F238E27FC236}">
              <a16:creationId xmlns:a16="http://schemas.microsoft.com/office/drawing/2014/main" id="{C8F11C64-AB5D-4D3A-AE26-FCE1BF40E5DC}"/>
            </a:ext>
          </a:extLst>
        </xdr:cNvPr>
        <xdr:cNvCxnSpPr/>
      </xdr:nvCxnSpPr>
      <xdr:spPr>
        <a:xfrm flipV="1">
          <a:off x="12832081" y="8945880"/>
          <a:ext cx="2590799" cy="15240"/>
        </a:xfrm>
        <a:prstGeom prst="line">
          <a:avLst/>
        </a:prstGeom>
        <a:ln w="44450">
          <a:solidFill>
            <a:srgbClr val="8D3533"/>
          </a:solidFill>
          <a:headEnd w="sm" len="sm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388620</xdr:colOff>
      <xdr:row>49</xdr:row>
      <xdr:rowOff>99060</xdr:rowOff>
    </xdr:from>
    <xdr:to>
      <xdr:col>17</xdr:col>
      <xdr:colOff>0</xdr:colOff>
      <xdr:row>49</xdr:row>
      <xdr:rowOff>99060</xdr:rowOff>
    </xdr:to>
    <xdr:cxnSp macro="">
      <xdr:nvCxnSpPr>
        <xdr:cNvPr id="64" name="Connettore diritto 63">
          <a:extLst>
            <a:ext uri="{FF2B5EF4-FFF2-40B4-BE49-F238E27FC236}">
              <a16:creationId xmlns:a16="http://schemas.microsoft.com/office/drawing/2014/main" id="{9E842E4F-8CC3-4B6F-9133-CBDD94677AC3}"/>
            </a:ext>
          </a:extLst>
        </xdr:cNvPr>
        <xdr:cNvCxnSpPr/>
      </xdr:nvCxnSpPr>
      <xdr:spPr>
        <a:xfrm>
          <a:off x="15941040" y="9296400"/>
          <a:ext cx="2377440" cy="0"/>
        </a:xfrm>
        <a:prstGeom prst="line">
          <a:avLst/>
        </a:prstGeom>
        <a:ln w="44450">
          <a:solidFill>
            <a:srgbClr val="DAA600"/>
          </a:solidFill>
          <a:headEnd w="sm" len="sm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136313</xdr:colOff>
      <xdr:row>26</xdr:row>
      <xdr:rowOff>30480</xdr:rowOff>
    </xdr:from>
    <xdr:to>
      <xdr:col>23</xdr:col>
      <xdr:colOff>144780</xdr:colOff>
      <xdr:row>35</xdr:row>
      <xdr:rowOff>11430</xdr:rowOff>
    </xdr:to>
    <xdr:cxnSp macro="">
      <xdr:nvCxnSpPr>
        <xdr:cNvPr id="71" name="Connettore diritto 70">
          <a:extLst>
            <a:ext uri="{FF2B5EF4-FFF2-40B4-BE49-F238E27FC236}">
              <a16:creationId xmlns:a16="http://schemas.microsoft.com/office/drawing/2014/main" id="{48C2E586-DB53-4FC4-BE50-0D469C467AFE}"/>
            </a:ext>
          </a:extLst>
        </xdr:cNvPr>
        <xdr:cNvCxnSpPr/>
      </xdr:nvCxnSpPr>
      <xdr:spPr>
        <a:xfrm>
          <a:off x="25076573" y="4914900"/>
          <a:ext cx="8467" cy="1703070"/>
        </a:xfrm>
        <a:prstGeom prst="line">
          <a:avLst/>
        </a:prstGeom>
        <a:ln w="44450">
          <a:solidFill>
            <a:sysClr val="windowText" lastClr="000000"/>
          </a:solidFill>
          <a:headEnd w="sm" len="sm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853440</xdr:colOff>
      <xdr:row>27</xdr:row>
      <xdr:rowOff>83820</xdr:rowOff>
    </xdr:from>
    <xdr:to>
      <xdr:col>23</xdr:col>
      <xdr:colOff>880533</xdr:colOff>
      <xdr:row>35</xdr:row>
      <xdr:rowOff>176107</xdr:rowOff>
    </xdr:to>
    <xdr:cxnSp macro="">
      <xdr:nvCxnSpPr>
        <xdr:cNvPr id="73" name="Connettore diritto 72">
          <a:extLst>
            <a:ext uri="{FF2B5EF4-FFF2-40B4-BE49-F238E27FC236}">
              <a16:creationId xmlns:a16="http://schemas.microsoft.com/office/drawing/2014/main" id="{6F55B017-61BE-4D43-9DC9-C586982E8C57}"/>
            </a:ext>
          </a:extLst>
        </xdr:cNvPr>
        <xdr:cNvCxnSpPr/>
      </xdr:nvCxnSpPr>
      <xdr:spPr>
        <a:xfrm>
          <a:off x="25793700" y="5158740"/>
          <a:ext cx="27093" cy="1623907"/>
        </a:xfrm>
        <a:prstGeom prst="line">
          <a:avLst/>
        </a:prstGeom>
        <a:ln w="44450">
          <a:solidFill>
            <a:sysClr val="windowText" lastClr="000000"/>
          </a:solidFill>
          <a:headEnd w="sm" len="sm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929640</xdr:colOff>
      <xdr:row>37</xdr:row>
      <xdr:rowOff>121920</xdr:rowOff>
    </xdr:from>
    <xdr:to>
      <xdr:col>22</xdr:col>
      <xdr:colOff>472440</xdr:colOff>
      <xdr:row>37</xdr:row>
      <xdr:rowOff>152402</xdr:rowOff>
    </xdr:to>
    <xdr:cxnSp macro="">
      <xdr:nvCxnSpPr>
        <xdr:cNvPr id="74" name="Connettore diritto 73">
          <a:extLst>
            <a:ext uri="{FF2B5EF4-FFF2-40B4-BE49-F238E27FC236}">
              <a16:creationId xmlns:a16="http://schemas.microsoft.com/office/drawing/2014/main" id="{44D55A50-87C5-4BAA-BAAA-96EE6998666C}"/>
            </a:ext>
          </a:extLst>
        </xdr:cNvPr>
        <xdr:cNvCxnSpPr/>
      </xdr:nvCxnSpPr>
      <xdr:spPr>
        <a:xfrm flipV="1">
          <a:off x="16482060" y="7101840"/>
          <a:ext cx="7871460" cy="30482"/>
        </a:xfrm>
        <a:prstGeom prst="line">
          <a:avLst/>
        </a:prstGeom>
        <a:ln w="44450">
          <a:solidFill>
            <a:srgbClr val="8D3533"/>
          </a:solidFill>
          <a:headEnd w="sm" len="sm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939800</xdr:colOff>
      <xdr:row>37</xdr:row>
      <xdr:rowOff>160020</xdr:rowOff>
    </xdr:from>
    <xdr:to>
      <xdr:col>15</xdr:col>
      <xdr:colOff>952501</xdr:colOff>
      <xdr:row>45</xdr:row>
      <xdr:rowOff>167640</xdr:rowOff>
    </xdr:to>
    <xdr:cxnSp macro="">
      <xdr:nvCxnSpPr>
        <xdr:cNvPr id="76" name="Connettore diritto 75">
          <a:extLst>
            <a:ext uri="{FF2B5EF4-FFF2-40B4-BE49-F238E27FC236}">
              <a16:creationId xmlns:a16="http://schemas.microsoft.com/office/drawing/2014/main" id="{D4B3E44C-43A3-4905-B5FC-E4A39F802C16}"/>
            </a:ext>
          </a:extLst>
        </xdr:cNvPr>
        <xdr:cNvCxnSpPr/>
      </xdr:nvCxnSpPr>
      <xdr:spPr>
        <a:xfrm flipH="1">
          <a:off x="16492220" y="7139940"/>
          <a:ext cx="12701" cy="1478280"/>
        </a:xfrm>
        <a:prstGeom prst="line">
          <a:avLst/>
        </a:prstGeom>
        <a:ln w="44450">
          <a:solidFill>
            <a:srgbClr val="8D3533"/>
          </a:solidFill>
          <a:headEnd w="sm" len="sm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303953</xdr:colOff>
      <xdr:row>42</xdr:row>
      <xdr:rowOff>68580</xdr:rowOff>
    </xdr:from>
    <xdr:to>
      <xdr:col>15</xdr:col>
      <xdr:colOff>419100</xdr:colOff>
      <xdr:row>42</xdr:row>
      <xdr:rowOff>77894</xdr:rowOff>
    </xdr:to>
    <xdr:cxnSp macro="">
      <xdr:nvCxnSpPr>
        <xdr:cNvPr id="82" name="Connettore diritto 81">
          <a:extLst>
            <a:ext uri="{FF2B5EF4-FFF2-40B4-BE49-F238E27FC236}">
              <a16:creationId xmlns:a16="http://schemas.microsoft.com/office/drawing/2014/main" id="{43D1C59B-57B3-49A8-949F-AE4BA885B944}"/>
            </a:ext>
          </a:extLst>
        </xdr:cNvPr>
        <xdr:cNvCxnSpPr/>
      </xdr:nvCxnSpPr>
      <xdr:spPr>
        <a:xfrm flipV="1">
          <a:off x="14553353" y="7962900"/>
          <a:ext cx="1418167" cy="9314"/>
        </a:xfrm>
        <a:prstGeom prst="line">
          <a:avLst/>
        </a:prstGeom>
        <a:ln w="44450">
          <a:solidFill>
            <a:srgbClr val="DAA600"/>
          </a:solidFill>
          <a:headEnd w="sm" len="sm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301535</xdr:colOff>
      <xdr:row>33</xdr:row>
      <xdr:rowOff>134983</xdr:rowOff>
    </xdr:from>
    <xdr:to>
      <xdr:col>14</xdr:col>
      <xdr:colOff>307221</xdr:colOff>
      <xdr:row>42</xdr:row>
      <xdr:rowOff>91803</xdr:rowOff>
    </xdr:to>
    <xdr:cxnSp macro="">
      <xdr:nvCxnSpPr>
        <xdr:cNvPr id="84" name="Connettore diritto 83">
          <a:extLst>
            <a:ext uri="{FF2B5EF4-FFF2-40B4-BE49-F238E27FC236}">
              <a16:creationId xmlns:a16="http://schemas.microsoft.com/office/drawing/2014/main" id="{29B8A9B0-9F6D-4C7E-B095-9CFF45D3DFA7}"/>
            </a:ext>
          </a:extLst>
        </xdr:cNvPr>
        <xdr:cNvCxnSpPr/>
      </xdr:nvCxnSpPr>
      <xdr:spPr>
        <a:xfrm flipH="1" flipV="1">
          <a:off x="14550935" y="6375763"/>
          <a:ext cx="5686" cy="1610360"/>
        </a:xfrm>
        <a:prstGeom prst="line">
          <a:avLst/>
        </a:prstGeom>
        <a:ln w="44450">
          <a:solidFill>
            <a:srgbClr val="DAA600"/>
          </a:solidFill>
          <a:headEnd w="sm" len="sm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498687</xdr:colOff>
      <xdr:row>33</xdr:row>
      <xdr:rowOff>129540</xdr:rowOff>
    </xdr:from>
    <xdr:to>
      <xdr:col>13</xdr:col>
      <xdr:colOff>472440</xdr:colOff>
      <xdr:row>33</xdr:row>
      <xdr:rowOff>130388</xdr:rowOff>
    </xdr:to>
    <xdr:cxnSp macro="">
      <xdr:nvCxnSpPr>
        <xdr:cNvPr id="89" name="Connettore diritto 88">
          <a:extLst>
            <a:ext uri="{FF2B5EF4-FFF2-40B4-BE49-F238E27FC236}">
              <a16:creationId xmlns:a16="http://schemas.microsoft.com/office/drawing/2014/main" id="{D6B1454E-09FB-41F1-B2B9-0EAAF3A84BCC}"/>
            </a:ext>
          </a:extLst>
        </xdr:cNvPr>
        <xdr:cNvCxnSpPr/>
      </xdr:nvCxnSpPr>
      <xdr:spPr>
        <a:xfrm flipV="1">
          <a:off x="12340167" y="6370320"/>
          <a:ext cx="1368213" cy="848"/>
        </a:xfrm>
        <a:prstGeom prst="line">
          <a:avLst/>
        </a:prstGeom>
        <a:ln w="44450">
          <a:solidFill>
            <a:srgbClr val="DAA600"/>
          </a:solidFill>
          <a:headEnd w="sm" len="sm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1026644</xdr:colOff>
      <xdr:row>33</xdr:row>
      <xdr:rowOff>24070</xdr:rowOff>
    </xdr:from>
    <xdr:to>
      <xdr:col>9</xdr:col>
      <xdr:colOff>1039587</xdr:colOff>
      <xdr:row>35</xdr:row>
      <xdr:rowOff>56243</xdr:rowOff>
    </xdr:to>
    <xdr:cxnSp macro="">
      <xdr:nvCxnSpPr>
        <xdr:cNvPr id="90" name="Connettore diritto 89">
          <a:extLst>
            <a:ext uri="{FF2B5EF4-FFF2-40B4-BE49-F238E27FC236}">
              <a16:creationId xmlns:a16="http://schemas.microsoft.com/office/drawing/2014/main" id="{B20AC3FC-6710-4C49-8A88-FFAAEA609E6C}"/>
            </a:ext>
          </a:extLst>
        </xdr:cNvPr>
        <xdr:cNvCxnSpPr/>
      </xdr:nvCxnSpPr>
      <xdr:spPr>
        <a:xfrm flipV="1">
          <a:off x="9958977" y="5383470"/>
          <a:ext cx="12943" cy="404706"/>
        </a:xfrm>
        <a:prstGeom prst="line">
          <a:avLst/>
        </a:prstGeom>
        <a:ln w="44450">
          <a:solidFill>
            <a:srgbClr val="DAA600"/>
          </a:solidFill>
          <a:headEnd w="sm" len="sm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1030273</xdr:colOff>
      <xdr:row>33</xdr:row>
      <xdr:rowOff>15240</xdr:rowOff>
    </xdr:from>
    <xdr:to>
      <xdr:col>12</xdr:col>
      <xdr:colOff>106680</xdr:colOff>
      <xdr:row>33</xdr:row>
      <xdr:rowOff>27578</xdr:rowOff>
    </xdr:to>
    <xdr:cxnSp macro="">
      <xdr:nvCxnSpPr>
        <xdr:cNvPr id="99" name="Connettore diritto 98">
          <a:extLst>
            <a:ext uri="{FF2B5EF4-FFF2-40B4-BE49-F238E27FC236}">
              <a16:creationId xmlns:a16="http://schemas.microsoft.com/office/drawing/2014/main" id="{41A702AD-798D-4A3E-8685-B4141BB77F19}"/>
            </a:ext>
          </a:extLst>
        </xdr:cNvPr>
        <xdr:cNvCxnSpPr/>
      </xdr:nvCxnSpPr>
      <xdr:spPr>
        <a:xfrm flipV="1">
          <a:off x="10044733" y="6263640"/>
          <a:ext cx="1903427" cy="12338"/>
        </a:xfrm>
        <a:prstGeom prst="line">
          <a:avLst/>
        </a:prstGeom>
        <a:ln w="44450">
          <a:solidFill>
            <a:srgbClr val="DAA600"/>
          </a:solidFill>
          <a:headEnd w="sm" len="sm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815340</xdr:colOff>
      <xdr:row>10</xdr:row>
      <xdr:rowOff>160020</xdr:rowOff>
    </xdr:from>
    <xdr:to>
      <xdr:col>23</xdr:col>
      <xdr:colOff>847513</xdr:colOff>
      <xdr:row>24</xdr:row>
      <xdr:rowOff>153247</xdr:rowOff>
    </xdr:to>
    <xdr:cxnSp macro="">
      <xdr:nvCxnSpPr>
        <xdr:cNvPr id="103" name="Connettore diritto 102">
          <a:extLst>
            <a:ext uri="{FF2B5EF4-FFF2-40B4-BE49-F238E27FC236}">
              <a16:creationId xmlns:a16="http://schemas.microsoft.com/office/drawing/2014/main" id="{12A99030-997F-4DD9-B972-093F82FF7D44}"/>
            </a:ext>
          </a:extLst>
        </xdr:cNvPr>
        <xdr:cNvCxnSpPr/>
      </xdr:nvCxnSpPr>
      <xdr:spPr>
        <a:xfrm>
          <a:off x="25755600" y="2095500"/>
          <a:ext cx="32173" cy="2584027"/>
        </a:xfrm>
        <a:prstGeom prst="line">
          <a:avLst/>
        </a:prstGeom>
        <a:ln w="44450">
          <a:solidFill>
            <a:schemeClr val="accent6"/>
          </a:solidFill>
          <a:headEnd w="sm" len="sm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650240</xdr:colOff>
      <xdr:row>10</xdr:row>
      <xdr:rowOff>158328</xdr:rowOff>
    </xdr:from>
    <xdr:to>
      <xdr:col>23</xdr:col>
      <xdr:colOff>830580</xdr:colOff>
      <xdr:row>10</xdr:row>
      <xdr:rowOff>160020</xdr:rowOff>
    </xdr:to>
    <xdr:cxnSp macro="">
      <xdr:nvCxnSpPr>
        <xdr:cNvPr id="105" name="Connettore diritto 104">
          <a:extLst>
            <a:ext uri="{FF2B5EF4-FFF2-40B4-BE49-F238E27FC236}">
              <a16:creationId xmlns:a16="http://schemas.microsoft.com/office/drawing/2014/main" id="{0736E6B6-913D-4F34-9312-4E349B584B91}"/>
            </a:ext>
          </a:extLst>
        </xdr:cNvPr>
        <xdr:cNvCxnSpPr/>
      </xdr:nvCxnSpPr>
      <xdr:spPr>
        <a:xfrm flipH="1" flipV="1">
          <a:off x="25590500" y="2093808"/>
          <a:ext cx="180340" cy="1692"/>
        </a:xfrm>
        <a:prstGeom prst="line">
          <a:avLst/>
        </a:prstGeom>
        <a:ln w="44450">
          <a:solidFill>
            <a:schemeClr val="accent6"/>
          </a:solidFill>
          <a:headEnd w="sm" len="sm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10886</xdr:colOff>
      <xdr:row>49</xdr:row>
      <xdr:rowOff>80191</xdr:rowOff>
    </xdr:from>
    <xdr:to>
      <xdr:col>23</xdr:col>
      <xdr:colOff>861060</xdr:colOff>
      <xdr:row>49</xdr:row>
      <xdr:rowOff>83820</xdr:rowOff>
    </xdr:to>
    <xdr:cxnSp macro="">
      <xdr:nvCxnSpPr>
        <xdr:cNvPr id="112" name="Connettore diritto 111">
          <a:extLst>
            <a:ext uri="{FF2B5EF4-FFF2-40B4-BE49-F238E27FC236}">
              <a16:creationId xmlns:a16="http://schemas.microsoft.com/office/drawing/2014/main" id="{3FD666C3-FBBD-4C62-88B3-6669B9205B4F}"/>
            </a:ext>
          </a:extLst>
        </xdr:cNvPr>
        <xdr:cNvCxnSpPr/>
      </xdr:nvCxnSpPr>
      <xdr:spPr>
        <a:xfrm>
          <a:off x="22848026" y="9277531"/>
          <a:ext cx="2953294" cy="3629"/>
        </a:xfrm>
        <a:prstGeom prst="line">
          <a:avLst/>
        </a:prstGeom>
        <a:ln w="44450">
          <a:solidFill>
            <a:srgbClr val="DAA600"/>
          </a:solidFill>
          <a:headEnd w="sm" len="sm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508000</xdr:colOff>
      <xdr:row>31</xdr:row>
      <xdr:rowOff>182880</xdr:rowOff>
    </xdr:from>
    <xdr:to>
      <xdr:col>9</xdr:col>
      <xdr:colOff>510540</xdr:colOff>
      <xdr:row>34</xdr:row>
      <xdr:rowOff>16934</xdr:rowOff>
    </xdr:to>
    <xdr:cxnSp macro="">
      <xdr:nvCxnSpPr>
        <xdr:cNvPr id="6" name="Connettore 2 5">
          <a:extLst>
            <a:ext uri="{FF2B5EF4-FFF2-40B4-BE49-F238E27FC236}">
              <a16:creationId xmlns:a16="http://schemas.microsoft.com/office/drawing/2014/main" id="{18352FFF-8100-48D8-9A72-F74FEF7BC18B}"/>
            </a:ext>
          </a:extLst>
        </xdr:cNvPr>
        <xdr:cNvCxnSpPr/>
      </xdr:nvCxnSpPr>
      <xdr:spPr>
        <a:xfrm flipV="1">
          <a:off x="9522460" y="6065520"/>
          <a:ext cx="2540" cy="390314"/>
        </a:xfrm>
        <a:prstGeom prst="straightConnector1">
          <a:avLst/>
        </a:prstGeom>
        <a:ln w="44450">
          <a:solidFill>
            <a:srgbClr val="7030A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737084</xdr:colOff>
      <xdr:row>41</xdr:row>
      <xdr:rowOff>1572</xdr:rowOff>
    </xdr:from>
    <xdr:to>
      <xdr:col>9</xdr:col>
      <xdr:colOff>135951</xdr:colOff>
      <xdr:row>41</xdr:row>
      <xdr:rowOff>10038</xdr:rowOff>
    </xdr:to>
    <xdr:cxnSp macro="">
      <xdr:nvCxnSpPr>
        <xdr:cNvPr id="34" name="Connettore 2 33">
          <a:extLst>
            <a:ext uri="{FF2B5EF4-FFF2-40B4-BE49-F238E27FC236}">
              <a16:creationId xmlns:a16="http://schemas.microsoft.com/office/drawing/2014/main" id="{3F99F226-C559-467B-9D84-6316B1708749}"/>
            </a:ext>
          </a:extLst>
        </xdr:cNvPr>
        <xdr:cNvCxnSpPr/>
      </xdr:nvCxnSpPr>
      <xdr:spPr>
        <a:xfrm>
          <a:off x="8805817" y="6851105"/>
          <a:ext cx="304801" cy="8466"/>
        </a:xfrm>
        <a:prstGeom prst="straightConnector1">
          <a:avLst/>
        </a:prstGeom>
        <a:ln w="44450">
          <a:solidFill>
            <a:srgbClr val="7030A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634998</xdr:colOff>
      <xdr:row>50</xdr:row>
      <xdr:rowOff>135468</xdr:rowOff>
    </xdr:from>
    <xdr:to>
      <xdr:col>12</xdr:col>
      <xdr:colOff>1015999</xdr:colOff>
      <xdr:row>50</xdr:row>
      <xdr:rowOff>143934</xdr:rowOff>
    </xdr:to>
    <xdr:cxnSp macro="">
      <xdr:nvCxnSpPr>
        <xdr:cNvPr id="39" name="Connettore diritto 38">
          <a:extLst>
            <a:ext uri="{FF2B5EF4-FFF2-40B4-BE49-F238E27FC236}">
              <a16:creationId xmlns:a16="http://schemas.microsoft.com/office/drawing/2014/main" id="{E6D99318-3220-4EAE-B073-8A0BC557FB5C}"/>
            </a:ext>
          </a:extLst>
        </xdr:cNvPr>
        <xdr:cNvCxnSpPr/>
      </xdr:nvCxnSpPr>
      <xdr:spPr>
        <a:xfrm>
          <a:off x="12488331" y="9643535"/>
          <a:ext cx="381001" cy="8466"/>
        </a:xfrm>
        <a:prstGeom prst="line">
          <a:avLst/>
        </a:prstGeom>
        <a:ln w="44450">
          <a:solidFill>
            <a:srgbClr val="8D3533"/>
          </a:solidFill>
          <a:headEnd w="sm" len="sm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1169248</xdr:colOff>
      <xdr:row>45</xdr:row>
      <xdr:rowOff>144780</xdr:rowOff>
    </xdr:from>
    <xdr:to>
      <xdr:col>14</xdr:col>
      <xdr:colOff>1173480</xdr:colOff>
      <xdr:row>47</xdr:row>
      <xdr:rowOff>151553</xdr:rowOff>
    </xdr:to>
    <xdr:cxnSp macro="">
      <xdr:nvCxnSpPr>
        <xdr:cNvPr id="43" name="Connettore diritto 42">
          <a:extLst>
            <a:ext uri="{FF2B5EF4-FFF2-40B4-BE49-F238E27FC236}">
              <a16:creationId xmlns:a16="http://schemas.microsoft.com/office/drawing/2014/main" id="{23A762E7-52E1-4C5F-88FB-66B711ECA0B7}"/>
            </a:ext>
          </a:extLst>
        </xdr:cNvPr>
        <xdr:cNvCxnSpPr/>
      </xdr:nvCxnSpPr>
      <xdr:spPr>
        <a:xfrm flipH="1">
          <a:off x="15418648" y="8595360"/>
          <a:ext cx="4232" cy="372533"/>
        </a:xfrm>
        <a:prstGeom prst="line">
          <a:avLst/>
        </a:prstGeom>
        <a:ln w="44450">
          <a:solidFill>
            <a:srgbClr val="8D3533"/>
          </a:solidFill>
          <a:headEnd w="sm" len="sm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1154007</xdr:colOff>
      <xdr:row>45</xdr:row>
      <xdr:rowOff>152399</xdr:rowOff>
    </xdr:from>
    <xdr:to>
      <xdr:col>15</xdr:col>
      <xdr:colOff>71121</xdr:colOff>
      <xdr:row>45</xdr:row>
      <xdr:rowOff>152400</xdr:rowOff>
    </xdr:to>
    <xdr:cxnSp macro="">
      <xdr:nvCxnSpPr>
        <xdr:cNvPr id="45" name="Connettore diritto 44">
          <a:extLst>
            <a:ext uri="{FF2B5EF4-FFF2-40B4-BE49-F238E27FC236}">
              <a16:creationId xmlns:a16="http://schemas.microsoft.com/office/drawing/2014/main" id="{914B0FD8-173B-4A7B-9D27-BBA44964F79A}"/>
            </a:ext>
          </a:extLst>
        </xdr:cNvPr>
        <xdr:cNvCxnSpPr/>
      </xdr:nvCxnSpPr>
      <xdr:spPr>
        <a:xfrm flipV="1">
          <a:off x="15403407" y="8602979"/>
          <a:ext cx="220134" cy="1"/>
        </a:xfrm>
        <a:prstGeom prst="line">
          <a:avLst/>
        </a:prstGeom>
        <a:ln w="44450">
          <a:solidFill>
            <a:srgbClr val="8D3533"/>
          </a:solidFill>
          <a:headEnd w="sm" len="sm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645160</xdr:colOff>
      <xdr:row>45</xdr:row>
      <xdr:rowOff>144780</xdr:rowOff>
    </xdr:from>
    <xdr:to>
      <xdr:col>15</xdr:col>
      <xdr:colOff>941494</xdr:colOff>
      <xdr:row>45</xdr:row>
      <xdr:rowOff>144780</xdr:rowOff>
    </xdr:to>
    <xdr:cxnSp macro="">
      <xdr:nvCxnSpPr>
        <xdr:cNvPr id="46" name="Connettore diritto 45">
          <a:extLst>
            <a:ext uri="{FF2B5EF4-FFF2-40B4-BE49-F238E27FC236}">
              <a16:creationId xmlns:a16="http://schemas.microsoft.com/office/drawing/2014/main" id="{57E142C9-18E1-41C9-AD83-04FC06B7CEDC}"/>
            </a:ext>
          </a:extLst>
        </xdr:cNvPr>
        <xdr:cNvCxnSpPr/>
      </xdr:nvCxnSpPr>
      <xdr:spPr>
        <a:xfrm>
          <a:off x="16197580" y="8595360"/>
          <a:ext cx="296334" cy="0"/>
        </a:xfrm>
        <a:prstGeom prst="line">
          <a:avLst/>
        </a:prstGeom>
        <a:ln w="44450">
          <a:solidFill>
            <a:srgbClr val="8D3533"/>
          </a:solidFill>
          <a:headEnd w="sm" len="sm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464822</xdr:colOff>
      <xdr:row>36</xdr:row>
      <xdr:rowOff>68580</xdr:rowOff>
    </xdr:from>
    <xdr:to>
      <xdr:col>22</xdr:col>
      <xdr:colOff>472440</xdr:colOff>
      <xdr:row>37</xdr:row>
      <xdr:rowOff>150706</xdr:rowOff>
    </xdr:to>
    <xdr:cxnSp macro="">
      <xdr:nvCxnSpPr>
        <xdr:cNvPr id="50" name="Connettore diritto 49">
          <a:extLst>
            <a:ext uri="{FF2B5EF4-FFF2-40B4-BE49-F238E27FC236}">
              <a16:creationId xmlns:a16="http://schemas.microsoft.com/office/drawing/2014/main" id="{B861F073-37AF-4903-84C9-54D5C2485E05}"/>
            </a:ext>
          </a:extLst>
        </xdr:cNvPr>
        <xdr:cNvCxnSpPr/>
      </xdr:nvCxnSpPr>
      <xdr:spPr>
        <a:xfrm flipH="1">
          <a:off x="24345902" y="6865620"/>
          <a:ext cx="7618" cy="265006"/>
        </a:xfrm>
        <a:prstGeom prst="line">
          <a:avLst/>
        </a:prstGeom>
        <a:ln w="44450">
          <a:solidFill>
            <a:srgbClr val="8D3533"/>
          </a:solidFill>
          <a:headEnd w="sm" len="sm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447887</xdr:colOff>
      <xdr:row>36</xdr:row>
      <xdr:rowOff>68580</xdr:rowOff>
    </xdr:from>
    <xdr:to>
      <xdr:col>22</xdr:col>
      <xdr:colOff>685800</xdr:colOff>
      <xdr:row>36</xdr:row>
      <xdr:rowOff>79587</xdr:rowOff>
    </xdr:to>
    <xdr:cxnSp macro="">
      <xdr:nvCxnSpPr>
        <xdr:cNvPr id="53" name="Connettore diritto 52">
          <a:extLst>
            <a:ext uri="{FF2B5EF4-FFF2-40B4-BE49-F238E27FC236}">
              <a16:creationId xmlns:a16="http://schemas.microsoft.com/office/drawing/2014/main" id="{F51DF8D3-23F7-4AE4-9069-9E0D3E6DAB5C}"/>
            </a:ext>
          </a:extLst>
        </xdr:cNvPr>
        <xdr:cNvCxnSpPr/>
      </xdr:nvCxnSpPr>
      <xdr:spPr>
        <a:xfrm flipV="1">
          <a:off x="24328967" y="6865620"/>
          <a:ext cx="237913" cy="11007"/>
        </a:xfrm>
        <a:prstGeom prst="line">
          <a:avLst/>
        </a:prstGeom>
        <a:ln w="44450">
          <a:solidFill>
            <a:srgbClr val="8D3533"/>
          </a:solidFill>
          <a:headEnd w="sm" len="sm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860940</xdr:colOff>
      <xdr:row>48</xdr:row>
      <xdr:rowOff>52735</xdr:rowOff>
    </xdr:from>
    <xdr:to>
      <xdr:col>23</xdr:col>
      <xdr:colOff>869406</xdr:colOff>
      <xdr:row>49</xdr:row>
      <xdr:rowOff>103536</xdr:rowOff>
    </xdr:to>
    <xdr:cxnSp macro="">
      <xdr:nvCxnSpPr>
        <xdr:cNvPr id="54" name="Connettore diritto 53">
          <a:extLst>
            <a:ext uri="{FF2B5EF4-FFF2-40B4-BE49-F238E27FC236}">
              <a16:creationId xmlns:a16="http://schemas.microsoft.com/office/drawing/2014/main" id="{39430749-79A3-4304-9E65-CA851A6BC6F3}"/>
            </a:ext>
          </a:extLst>
        </xdr:cNvPr>
        <xdr:cNvCxnSpPr/>
      </xdr:nvCxnSpPr>
      <xdr:spPr>
        <a:xfrm flipH="1">
          <a:off x="25801200" y="9059575"/>
          <a:ext cx="8466" cy="241301"/>
        </a:xfrm>
        <a:prstGeom prst="line">
          <a:avLst/>
        </a:prstGeom>
        <a:ln w="44450">
          <a:solidFill>
            <a:srgbClr val="DAA600"/>
          </a:solidFill>
          <a:headEnd w="sm" len="sm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407246</xdr:colOff>
      <xdr:row>47</xdr:row>
      <xdr:rowOff>120227</xdr:rowOff>
    </xdr:from>
    <xdr:to>
      <xdr:col>15</xdr:col>
      <xdr:colOff>407247</xdr:colOff>
      <xdr:row>49</xdr:row>
      <xdr:rowOff>111760</xdr:rowOff>
    </xdr:to>
    <xdr:cxnSp macro="">
      <xdr:nvCxnSpPr>
        <xdr:cNvPr id="56" name="Connettore diritto 55">
          <a:extLst>
            <a:ext uri="{FF2B5EF4-FFF2-40B4-BE49-F238E27FC236}">
              <a16:creationId xmlns:a16="http://schemas.microsoft.com/office/drawing/2014/main" id="{5FE5F5AE-D50B-4EC6-B450-87A545442DD9}"/>
            </a:ext>
          </a:extLst>
        </xdr:cNvPr>
        <xdr:cNvCxnSpPr/>
      </xdr:nvCxnSpPr>
      <xdr:spPr>
        <a:xfrm>
          <a:off x="15959666" y="8936567"/>
          <a:ext cx="1" cy="372533"/>
        </a:xfrm>
        <a:prstGeom prst="line">
          <a:avLst/>
        </a:prstGeom>
        <a:ln w="44450">
          <a:solidFill>
            <a:srgbClr val="DAA600"/>
          </a:solidFill>
          <a:headEnd w="sm" len="sm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403860</xdr:colOff>
      <xdr:row>42</xdr:row>
      <xdr:rowOff>53340</xdr:rowOff>
    </xdr:from>
    <xdr:to>
      <xdr:col>15</xdr:col>
      <xdr:colOff>403860</xdr:colOff>
      <xdr:row>44</xdr:row>
      <xdr:rowOff>91440</xdr:rowOff>
    </xdr:to>
    <xdr:cxnSp macro="">
      <xdr:nvCxnSpPr>
        <xdr:cNvPr id="57" name="Connettore diritto 56">
          <a:extLst>
            <a:ext uri="{FF2B5EF4-FFF2-40B4-BE49-F238E27FC236}">
              <a16:creationId xmlns:a16="http://schemas.microsoft.com/office/drawing/2014/main" id="{BBB9A5AC-1C81-4339-B482-21A9C2FDA856}"/>
            </a:ext>
          </a:extLst>
        </xdr:cNvPr>
        <xdr:cNvCxnSpPr/>
      </xdr:nvCxnSpPr>
      <xdr:spPr>
        <a:xfrm>
          <a:off x="15956280" y="7947660"/>
          <a:ext cx="0" cy="411480"/>
        </a:xfrm>
        <a:prstGeom prst="line">
          <a:avLst/>
        </a:prstGeom>
        <a:ln w="44450">
          <a:solidFill>
            <a:srgbClr val="DAA600"/>
          </a:solidFill>
          <a:headEnd w="sm" len="sm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97487</xdr:colOff>
      <xdr:row>33</xdr:row>
      <xdr:rowOff>129661</xdr:rowOff>
    </xdr:from>
    <xdr:to>
      <xdr:col>14</xdr:col>
      <xdr:colOff>335280</xdr:colOff>
      <xdr:row>33</xdr:row>
      <xdr:rowOff>140546</xdr:rowOff>
    </xdr:to>
    <xdr:cxnSp macro="">
      <xdr:nvCxnSpPr>
        <xdr:cNvPr id="61" name="Connettore diritto 60">
          <a:extLst>
            <a:ext uri="{FF2B5EF4-FFF2-40B4-BE49-F238E27FC236}">
              <a16:creationId xmlns:a16="http://schemas.microsoft.com/office/drawing/2014/main" id="{24A02FC4-8136-40FD-B7AD-A925F2408B7E}"/>
            </a:ext>
          </a:extLst>
        </xdr:cNvPr>
        <xdr:cNvCxnSpPr/>
      </xdr:nvCxnSpPr>
      <xdr:spPr>
        <a:xfrm>
          <a:off x="14346887" y="6370441"/>
          <a:ext cx="237793" cy="10885"/>
        </a:xfrm>
        <a:prstGeom prst="line">
          <a:avLst/>
        </a:prstGeom>
        <a:ln w="44450">
          <a:solidFill>
            <a:srgbClr val="DAA600"/>
          </a:solidFill>
          <a:headEnd w="sm" len="sm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113453</xdr:colOff>
      <xdr:row>26</xdr:row>
      <xdr:rowOff>47413</xdr:rowOff>
    </xdr:from>
    <xdr:to>
      <xdr:col>23</xdr:col>
      <xdr:colOff>587587</xdr:colOff>
      <xdr:row>26</xdr:row>
      <xdr:rowOff>47413</xdr:rowOff>
    </xdr:to>
    <xdr:cxnSp macro="">
      <xdr:nvCxnSpPr>
        <xdr:cNvPr id="75" name="Connettore diritto 74">
          <a:extLst>
            <a:ext uri="{FF2B5EF4-FFF2-40B4-BE49-F238E27FC236}">
              <a16:creationId xmlns:a16="http://schemas.microsoft.com/office/drawing/2014/main" id="{3D0440FF-7113-40E7-BEA3-C19303CDAA8F}"/>
            </a:ext>
          </a:extLst>
        </xdr:cNvPr>
        <xdr:cNvCxnSpPr/>
      </xdr:nvCxnSpPr>
      <xdr:spPr>
        <a:xfrm>
          <a:off x="25053713" y="4931833"/>
          <a:ext cx="474134" cy="0"/>
        </a:xfrm>
        <a:prstGeom prst="line">
          <a:avLst/>
        </a:prstGeom>
        <a:ln w="44450">
          <a:solidFill>
            <a:schemeClr val="tx1"/>
          </a:solidFill>
          <a:headEnd w="sm" len="sm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559646</xdr:colOff>
      <xdr:row>35</xdr:row>
      <xdr:rowOff>161713</xdr:rowOff>
    </xdr:from>
    <xdr:to>
      <xdr:col>23</xdr:col>
      <xdr:colOff>891540</xdr:colOff>
      <xdr:row>35</xdr:row>
      <xdr:rowOff>161714</xdr:rowOff>
    </xdr:to>
    <xdr:cxnSp macro="">
      <xdr:nvCxnSpPr>
        <xdr:cNvPr id="77" name="Connettore diritto 76">
          <a:extLst>
            <a:ext uri="{FF2B5EF4-FFF2-40B4-BE49-F238E27FC236}">
              <a16:creationId xmlns:a16="http://schemas.microsoft.com/office/drawing/2014/main" id="{40561A82-D864-4813-9555-85B137D71CF2}"/>
            </a:ext>
          </a:extLst>
        </xdr:cNvPr>
        <xdr:cNvCxnSpPr/>
      </xdr:nvCxnSpPr>
      <xdr:spPr>
        <a:xfrm flipV="1">
          <a:off x="25499906" y="6768253"/>
          <a:ext cx="331894" cy="1"/>
        </a:xfrm>
        <a:prstGeom prst="line">
          <a:avLst/>
        </a:prstGeom>
        <a:ln w="44450">
          <a:solidFill>
            <a:schemeClr val="tx1"/>
          </a:solidFill>
          <a:headEnd w="sm" len="sm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695689</xdr:colOff>
      <xdr:row>28</xdr:row>
      <xdr:rowOff>5684</xdr:rowOff>
    </xdr:from>
    <xdr:to>
      <xdr:col>12</xdr:col>
      <xdr:colOff>700799</xdr:colOff>
      <xdr:row>32</xdr:row>
      <xdr:rowOff>71062</xdr:rowOff>
    </xdr:to>
    <xdr:cxnSp macro="">
      <xdr:nvCxnSpPr>
        <xdr:cNvPr id="47" name="Connettore diritto 46">
          <a:extLst>
            <a:ext uri="{FF2B5EF4-FFF2-40B4-BE49-F238E27FC236}">
              <a16:creationId xmlns:a16="http://schemas.microsoft.com/office/drawing/2014/main" id="{900F7EDF-B4AA-4855-85A6-D54EEAA98F1C}"/>
            </a:ext>
          </a:extLst>
        </xdr:cNvPr>
        <xdr:cNvCxnSpPr/>
      </xdr:nvCxnSpPr>
      <xdr:spPr>
        <a:xfrm flipV="1">
          <a:off x="12537169" y="5286344"/>
          <a:ext cx="5110" cy="850238"/>
        </a:xfrm>
        <a:prstGeom prst="line">
          <a:avLst/>
        </a:prstGeom>
        <a:ln w="44450">
          <a:solidFill>
            <a:srgbClr val="DAA600"/>
          </a:solidFill>
          <a:headEnd w="sm" len="sm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525780</xdr:colOff>
      <xdr:row>32</xdr:row>
      <xdr:rowOff>59055</xdr:rowOff>
    </xdr:from>
    <xdr:to>
      <xdr:col>12</xdr:col>
      <xdr:colOff>712047</xdr:colOff>
      <xdr:row>32</xdr:row>
      <xdr:rowOff>62230</xdr:rowOff>
    </xdr:to>
    <xdr:cxnSp macro="">
      <xdr:nvCxnSpPr>
        <xdr:cNvPr id="49" name="Connettore diritto 48">
          <a:extLst>
            <a:ext uri="{FF2B5EF4-FFF2-40B4-BE49-F238E27FC236}">
              <a16:creationId xmlns:a16="http://schemas.microsoft.com/office/drawing/2014/main" id="{77BEB3AD-1D9C-43F3-8BEB-CBCCB5FBDE56}"/>
            </a:ext>
          </a:extLst>
        </xdr:cNvPr>
        <xdr:cNvCxnSpPr/>
      </xdr:nvCxnSpPr>
      <xdr:spPr>
        <a:xfrm flipV="1">
          <a:off x="12367260" y="6124575"/>
          <a:ext cx="186267" cy="3175"/>
        </a:xfrm>
        <a:prstGeom prst="line">
          <a:avLst/>
        </a:prstGeom>
        <a:ln w="44450">
          <a:solidFill>
            <a:srgbClr val="DAA600"/>
          </a:solidFill>
          <a:headEnd w="sm" len="sm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99060</xdr:colOff>
      <xdr:row>10</xdr:row>
      <xdr:rowOff>162774</xdr:rowOff>
    </xdr:from>
    <xdr:to>
      <xdr:col>22</xdr:col>
      <xdr:colOff>391376</xdr:colOff>
      <xdr:row>10</xdr:row>
      <xdr:rowOff>167640</xdr:rowOff>
    </xdr:to>
    <xdr:cxnSp macro="">
      <xdr:nvCxnSpPr>
        <xdr:cNvPr id="51" name="Connettore diritto 50">
          <a:extLst>
            <a:ext uri="{FF2B5EF4-FFF2-40B4-BE49-F238E27FC236}">
              <a16:creationId xmlns:a16="http://schemas.microsoft.com/office/drawing/2014/main" id="{641A9C7D-CB3E-469A-A428-F5826255ED0C}"/>
            </a:ext>
          </a:extLst>
        </xdr:cNvPr>
        <xdr:cNvCxnSpPr/>
      </xdr:nvCxnSpPr>
      <xdr:spPr>
        <a:xfrm flipH="1">
          <a:off x="23980140" y="2098254"/>
          <a:ext cx="292316" cy="4866"/>
        </a:xfrm>
        <a:prstGeom prst="line">
          <a:avLst/>
        </a:prstGeom>
        <a:ln w="44450">
          <a:solidFill>
            <a:schemeClr val="accent6"/>
          </a:solidFill>
          <a:headEnd w="sm" len="sm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6</xdr:col>
      <xdr:colOff>66676</xdr:colOff>
      <xdr:row>33</xdr:row>
      <xdr:rowOff>174073</xdr:rowOff>
    </xdr:from>
    <xdr:to>
      <xdr:col>7</xdr:col>
      <xdr:colOff>1042126</xdr:colOff>
      <xdr:row>42</xdr:row>
      <xdr:rowOff>141044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id="{0C5DBB1A-2C8A-45F6-B7A9-9B2FB3C30A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7076" y="5489023"/>
          <a:ext cx="1975576" cy="1603366"/>
        </a:xfrm>
        <a:prstGeom prst="rect">
          <a:avLst/>
        </a:prstGeom>
      </xdr:spPr>
    </xdr:pic>
    <xdr:clientData/>
  </xdr:twoCellAnchor>
  <xdr:twoCellAnchor>
    <xdr:from>
      <xdr:col>7</xdr:col>
      <xdr:colOff>400050</xdr:colOff>
      <xdr:row>40</xdr:row>
      <xdr:rowOff>179916</xdr:rowOff>
    </xdr:from>
    <xdr:to>
      <xdr:col>8</xdr:col>
      <xdr:colOff>118533</xdr:colOff>
      <xdr:row>40</xdr:row>
      <xdr:rowOff>179917</xdr:rowOff>
    </xdr:to>
    <xdr:cxnSp macro="">
      <xdr:nvCxnSpPr>
        <xdr:cNvPr id="59" name="Connettore diritto 58">
          <a:extLst>
            <a:ext uri="{FF2B5EF4-FFF2-40B4-BE49-F238E27FC236}">
              <a16:creationId xmlns:a16="http://schemas.microsoft.com/office/drawing/2014/main" id="{04C04F45-E42E-4E46-9258-08EE329536B8}"/>
            </a:ext>
          </a:extLst>
        </xdr:cNvPr>
        <xdr:cNvCxnSpPr/>
      </xdr:nvCxnSpPr>
      <xdr:spPr>
        <a:xfrm>
          <a:off x="7469717" y="7791449"/>
          <a:ext cx="768349" cy="1"/>
        </a:xfrm>
        <a:prstGeom prst="line">
          <a:avLst/>
        </a:prstGeom>
        <a:ln w="44450">
          <a:solidFill>
            <a:srgbClr val="7030A0"/>
          </a:solidFill>
          <a:headEnd w="sm" len="sm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371475</xdr:colOff>
      <xdr:row>39</xdr:row>
      <xdr:rowOff>161925</xdr:rowOff>
    </xdr:from>
    <xdr:to>
      <xdr:col>7</xdr:col>
      <xdr:colOff>381000</xdr:colOff>
      <xdr:row>41</xdr:row>
      <xdr:rowOff>9525</xdr:rowOff>
    </xdr:to>
    <xdr:cxnSp macro="">
      <xdr:nvCxnSpPr>
        <xdr:cNvPr id="60" name="Connettore diritto 59">
          <a:extLst>
            <a:ext uri="{FF2B5EF4-FFF2-40B4-BE49-F238E27FC236}">
              <a16:creationId xmlns:a16="http://schemas.microsoft.com/office/drawing/2014/main" id="{A6130496-CB90-4007-9309-D5B181FBF885}"/>
            </a:ext>
          </a:extLst>
        </xdr:cNvPr>
        <xdr:cNvCxnSpPr/>
      </xdr:nvCxnSpPr>
      <xdr:spPr>
        <a:xfrm flipH="1" flipV="1">
          <a:off x="4572000" y="6562725"/>
          <a:ext cx="9525" cy="209550"/>
        </a:xfrm>
        <a:prstGeom prst="line">
          <a:avLst/>
        </a:prstGeom>
        <a:ln w="44450">
          <a:solidFill>
            <a:srgbClr val="7030A0"/>
          </a:solidFill>
          <a:headEnd w="sm" len="sm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371475</xdr:colOff>
      <xdr:row>32</xdr:row>
      <xdr:rowOff>9525</xdr:rowOff>
    </xdr:from>
    <xdr:to>
      <xdr:col>7</xdr:col>
      <xdr:colOff>371475</xdr:colOff>
      <xdr:row>36</xdr:row>
      <xdr:rowOff>38101</xdr:rowOff>
    </xdr:to>
    <xdr:cxnSp macro="">
      <xdr:nvCxnSpPr>
        <xdr:cNvPr id="63" name="Connettore diritto 62">
          <a:extLst>
            <a:ext uri="{FF2B5EF4-FFF2-40B4-BE49-F238E27FC236}">
              <a16:creationId xmlns:a16="http://schemas.microsoft.com/office/drawing/2014/main" id="{00A45621-B46F-4F26-A887-B766A5F8B0CA}"/>
            </a:ext>
          </a:extLst>
        </xdr:cNvPr>
        <xdr:cNvCxnSpPr/>
      </xdr:nvCxnSpPr>
      <xdr:spPr>
        <a:xfrm flipV="1">
          <a:off x="6477000" y="5162550"/>
          <a:ext cx="0" cy="781051"/>
        </a:xfrm>
        <a:prstGeom prst="line">
          <a:avLst/>
        </a:prstGeom>
        <a:ln w="44450">
          <a:solidFill>
            <a:srgbClr val="7030A0"/>
          </a:solidFill>
          <a:headEnd w="sm" len="sm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4</xdr:col>
      <xdr:colOff>544284</xdr:colOff>
      <xdr:row>27</xdr:row>
      <xdr:rowOff>21771</xdr:rowOff>
    </xdr:from>
    <xdr:to>
      <xdr:col>6</xdr:col>
      <xdr:colOff>512974</xdr:colOff>
      <xdr:row>33</xdr:row>
      <xdr:rowOff>35923</xdr:rowOff>
    </xdr:to>
    <xdr:pic>
      <xdr:nvPicPr>
        <xdr:cNvPr id="32" name="Immagine 31">
          <a:extLst>
            <a:ext uri="{FF2B5EF4-FFF2-40B4-BE49-F238E27FC236}">
              <a16:creationId xmlns:a16="http://schemas.microsoft.com/office/drawing/2014/main" id="{DCB3E5CB-CED4-4217-83B4-BDFC6177E2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69227" y="4212771"/>
          <a:ext cx="1999480" cy="1197429"/>
        </a:xfrm>
        <a:prstGeom prst="rect">
          <a:avLst/>
        </a:prstGeom>
      </xdr:spPr>
    </xdr:pic>
    <xdr:clientData/>
  </xdr:twoCellAnchor>
  <xdr:twoCellAnchor>
    <xdr:from>
      <xdr:col>5</xdr:col>
      <xdr:colOff>685800</xdr:colOff>
      <xdr:row>29</xdr:row>
      <xdr:rowOff>195943</xdr:rowOff>
    </xdr:from>
    <xdr:to>
      <xdr:col>7</xdr:col>
      <xdr:colOff>381000</xdr:colOff>
      <xdr:row>32</xdr:row>
      <xdr:rowOff>0</xdr:rowOff>
    </xdr:to>
    <xdr:cxnSp macro="">
      <xdr:nvCxnSpPr>
        <xdr:cNvPr id="78" name="Connettore diritto 77">
          <a:extLst>
            <a:ext uri="{FF2B5EF4-FFF2-40B4-BE49-F238E27FC236}">
              <a16:creationId xmlns:a16="http://schemas.microsoft.com/office/drawing/2014/main" id="{B4D783FD-AE2A-4567-9E73-B931FC4CBCA8}"/>
            </a:ext>
          </a:extLst>
        </xdr:cNvPr>
        <xdr:cNvCxnSpPr/>
      </xdr:nvCxnSpPr>
      <xdr:spPr>
        <a:xfrm>
          <a:off x="5723467" y="4776410"/>
          <a:ext cx="1676400" cy="396723"/>
        </a:xfrm>
        <a:prstGeom prst="line">
          <a:avLst/>
        </a:prstGeom>
        <a:ln w="44450">
          <a:solidFill>
            <a:srgbClr val="7030A0"/>
          </a:solidFill>
          <a:headEnd w="sm" len="sm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10885</xdr:colOff>
      <xdr:row>29</xdr:row>
      <xdr:rowOff>163285</xdr:rowOff>
    </xdr:from>
    <xdr:to>
      <xdr:col>5</xdr:col>
      <xdr:colOff>8467</xdr:colOff>
      <xdr:row>29</xdr:row>
      <xdr:rowOff>169334</xdr:rowOff>
    </xdr:to>
    <xdr:cxnSp macro="">
      <xdr:nvCxnSpPr>
        <xdr:cNvPr id="80" name="Connettore diritto 79">
          <a:extLst>
            <a:ext uri="{FF2B5EF4-FFF2-40B4-BE49-F238E27FC236}">
              <a16:creationId xmlns:a16="http://schemas.microsoft.com/office/drawing/2014/main" id="{2C4F5FCE-20A9-42EE-B453-EBA37B15FC77}"/>
            </a:ext>
          </a:extLst>
        </xdr:cNvPr>
        <xdr:cNvCxnSpPr/>
      </xdr:nvCxnSpPr>
      <xdr:spPr>
        <a:xfrm flipH="1" flipV="1">
          <a:off x="4049485" y="5692018"/>
          <a:ext cx="1013582" cy="6049"/>
        </a:xfrm>
        <a:prstGeom prst="line">
          <a:avLst/>
        </a:prstGeom>
        <a:ln w="44450">
          <a:solidFill>
            <a:srgbClr val="7030A0"/>
          </a:solidFill>
          <a:headEnd w="sm" len="sm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60960</xdr:colOff>
      <xdr:row>30</xdr:row>
      <xdr:rowOff>30325</xdr:rowOff>
    </xdr:from>
    <xdr:to>
      <xdr:col>10</xdr:col>
      <xdr:colOff>259080</xdr:colOff>
      <xdr:row>50</xdr:row>
      <xdr:rowOff>123401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ACC4CCB6-88B3-4004-B285-A4F6F84310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3000" y="5714845"/>
          <a:ext cx="3025140" cy="3822855"/>
        </a:xfrm>
        <a:prstGeom prst="rect">
          <a:avLst/>
        </a:prstGeom>
      </xdr:spPr>
    </xdr:pic>
    <xdr:clientData/>
  </xdr:twoCellAnchor>
  <xdr:twoCellAnchor editAs="oneCell">
    <xdr:from>
      <xdr:col>16</xdr:col>
      <xdr:colOff>175259</xdr:colOff>
      <xdr:row>44</xdr:row>
      <xdr:rowOff>172719</xdr:rowOff>
    </xdr:from>
    <xdr:to>
      <xdr:col>18</xdr:col>
      <xdr:colOff>318346</xdr:colOff>
      <xdr:row>50</xdr:row>
      <xdr:rowOff>134196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4FB9D950-FFCC-4DC4-B594-C618BE2651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69639" y="8524239"/>
          <a:ext cx="1423247" cy="1112097"/>
        </a:xfrm>
        <a:prstGeom prst="rect">
          <a:avLst/>
        </a:prstGeom>
      </xdr:spPr>
    </xdr:pic>
    <xdr:clientData/>
  </xdr:twoCellAnchor>
  <xdr:twoCellAnchor editAs="oneCell">
    <xdr:from>
      <xdr:col>20</xdr:col>
      <xdr:colOff>580814</xdr:colOff>
      <xdr:row>37</xdr:row>
      <xdr:rowOff>99907</xdr:rowOff>
    </xdr:from>
    <xdr:to>
      <xdr:col>22</xdr:col>
      <xdr:colOff>210233</xdr:colOff>
      <xdr:row>45</xdr:row>
      <xdr:rowOff>65292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ECF94D0B-684C-427B-A32B-1E77BFD73A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508894" y="7125547"/>
          <a:ext cx="1610619" cy="1443665"/>
        </a:xfrm>
        <a:prstGeom prst="rect">
          <a:avLst/>
        </a:prstGeom>
      </xdr:spPr>
    </xdr:pic>
    <xdr:clientData/>
  </xdr:twoCellAnchor>
  <xdr:twoCellAnchor editAs="oneCell">
    <xdr:from>
      <xdr:col>29</xdr:col>
      <xdr:colOff>215077</xdr:colOff>
      <xdr:row>28</xdr:row>
      <xdr:rowOff>56276</xdr:rowOff>
    </xdr:from>
    <xdr:to>
      <xdr:col>32</xdr:col>
      <xdr:colOff>18626</xdr:colOff>
      <xdr:row>48</xdr:row>
      <xdr:rowOff>22609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id="{D3E92C83-4A57-4891-B231-170179801C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88937" y="5382656"/>
          <a:ext cx="2706769" cy="3730613"/>
        </a:xfrm>
        <a:prstGeom prst="rect">
          <a:avLst/>
        </a:prstGeom>
      </xdr:spPr>
    </xdr:pic>
    <xdr:clientData/>
  </xdr:twoCellAnchor>
  <xdr:twoCellAnchor>
    <xdr:from>
      <xdr:col>15</xdr:col>
      <xdr:colOff>7620</xdr:colOff>
      <xdr:row>46</xdr:row>
      <xdr:rowOff>182880</xdr:rowOff>
    </xdr:from>
    <xdr:to>
      <xdr:col>16</xdr:col>
      <xdr:colOff>594360</xdr:colOff>
      <xdr:row>47</xdr:row>
      <xdr:rowOff>0</xdr:rowOff>
    </xdr:to>
    <xdr:cxnSp macro="">
      <xdr:nvCxnSpPr>
        <xdr:cNvPr id="5" name="Connettore 2 4">
          <a:extLst>
            <a:ext uri="{FF2B5EF4-FFF2-40B4-BE49-F238E27FC236}">
              <a16:creationId xmlns:a16="http://schemas.microsoft.com/office/drawing/2014/main" id="{05C7E81E-1583-4B01-9C5C-B825450A4CB4}"/>
            </a:ext>
          </a:extLst>
        </xdr:cNvPr>
        <xdr:cNvCxnSpPr/>
      </xdr:nvCxnSpPr>
      <xdr:spPr>
        <a:xfrm>
          <a:off x="15392400" y="8923020"/>
          <a:ext cx="1196340" cy="7620"/>
        </a:xfrm>
        <a:prstGeom prst="straightConnector1">
          <a:avLst/>
        </a:prstGeom>
        <a:ln w="44450">
          <a:solidFill>
            <a:srgbClr val="8D3533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11</xdr:col>
      <xdr:colOff>288645</xdr:colOff>
      <xdr:row>31</xdr:row>
      <xdr:rowOff>9313</xdr:rowOff>
    </xdr:from>
    <xdr:to>
      <xdr:col>13</xdr:col>
      <xdr:colOff>283634</xdr:colOff>
      <xdr:row>40</xdr:row>
      <xdr:rowOff>38168</xdr:rowOff>
    </xdr:to>
    <xdr:pic>
      <xdr:nvPicPr>
        <xdr:cNvPr id="40" name="Immagine 39">
          <a:extLst>
            <a:ext uri="{FF2B5EF4-FFF2-40B4-BE49-F238E27FC236}">
              <a16:creationId xmlns:a16="http://schemas.microsoft.com/office/drawing/2014/main" id="{88F81EBE-BC73-4B47-ADCF-FFDB4754C6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92025" y="5930053"/>
          <a:ext cx="1915229" cy="1682395"/>
        </a:xfrm>
        <a:prstGeom prst="rect">
          <a:avLst/>
        </a:prstGeom>
      </xdr:spPr>
    </xdr:pic>
    <xdr:clientData/>
  </xdr:twoCellAnchor>
  <xdr:twoCellAnchor editAs="oneCell">
    <xdr:from>
      <xdr:col>24</xdr:col>
      <xdr:colOff>570652</xdr:colOff>
      <xdr:row>11</xdr:row>
      <xdr:rowOff>24703</xdr:rowOff>
    </xdr:from>
    <xdr:to>
      <xdr:col>28</xdr:col>
      <xdr:colOff>427567</xdr:colOff>
      <xdr:row>20</xdr:row>
      <xdr:rowOff>102546</xdr:rowOff>
    </xdr:to>
    <xdr:pic>
      <xdr:nvPicPr>
        <xdr:cNvPr id="44" name="Immagine 43">
          <a:extLst>
            <a:ext uri="{FF2B5EF4-FFF2-40B4-BE49-F238E27FC236}">
              <a16:creationId xmlns:a16="http://schemas.microsoft.com/office/drawing/2014/main" id="{578E541C-C8C8-467D-9613-B47D62C479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476372" y="2143063"/>
          <a:ext cx="3415455" cy="1777103"/>
        </a:xfrm>
        <a:prstGeom prst="rect">
          <a:avLst/>
        </a:prstGeom>
      </xdr:spPr>
    </xdr:pic>
    <xdr:clientData/>
  </xdr:twoCellAnchor>
  <xdr:twoCellAnchor>
    <xdr:from>
      <xdr:col>11</xdr:col>
      <xdr:colOff>986366</xdr:colOff>
      <xdr:row>35</xdr:row>
      <xdr:rowOff>60960</xdr:rowOff>
    </xdr:from>
    <xdr:to>
      <xdr:col>13</xdr:col>
      <xdr:colOff>487680</xdr:colOff>
      <xdr:row>35</xdr:row>
      <xdr:rowOff>61808</xdr:rowOff>
    </xdr:to>
    <xdr:cxnSp macro="">
      <xdr:nvCxnSpPr>
        <xdr:cNvPr id="49" name="Connettore 2 48">
          <a:extLst>
            <a:ext uri="{FF2B5EF4-FFF2-40B4-BE49-F238E27FC236}">
              <a16:creationId xmlns:a16="http://schemas.microsoft.com/office/drawing/2014/main" id="{7FF800BE-8475-42FC-A7B7-C76279058C72}"/>
            </a:ext>
          </a:extLst>
        </xdr:cNvPr>
        <xdr:cNvCxnSpPr/>
      </xdr:nvCxnSpPr>
      <xdr:spPr>
        <a:xfrm flipH="1">
          <a:off x="12789746" y="6720840"/>
          <a:ext cx="1421554" cy="848"/>
        </a:xfrm>
        <a:prstGeom prst="straightConnector1">
          <a:avLst/>
        </a:prstGeom>
        <a:ln w="44450">
          <a:solidFill>
            <a:srgbClr val="DAA6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449580</xdr:colOff>
      <xdr:row>29</xdr:row>
      <xdr:rowOff>15240</xdr:rowOff>
    </xdr:from>
    <xdr:to>
      <xdr:col>13</xdr:col>
      <xdr:colOff>468206</xdr:colOff>
      <xdr:row>35</xdr:row>
      <xdr:rowOff>53341</xdr:rowOff>
    </xdr:to>
    <xdr:cxnSp macro="">
      <xdr:nvCxnSpPr>
        <xdr:cNvPr id="52" name="Connettore diritto 51">
          <a:extLst>
            <a:ext uri="{FF2B5EF4-FFF2-40B4-BE49-F238E27FC236}">
              <a16:creationId xmlns:a16="http://schemas.microsoft.com/office/drawing/2014/main" id="{ACB42151-B8EF-4237-81EA-898A2AE24560}"/>
            </a:ext>
          </a:extLst>
        </xdr:cNvPr>
        <xdr:cNvCxnSpPr/>
      </xdr:nvCxnSpPr>
      <xdr:spPr>
        <a:xfrm flipH="1" flipV="1">
          <a:off x="14173200" y="5547360"/>
          <a:ext cx="18626" cy="1165861"/>
        </a:xfrm>
        <a:prstGeom prst="line">
          <a:avLst/>
        </a:prstGeom>
        <a:ln w="44450">
          <a:solidFill>
            <a:srgbClr val="DAA6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29</xdr:col>
      <xdr:colOff>876514</xdr:colOff>
      <xdr:row>19</xdr:row>
      <xdr:rowOff>100813</xdr:rowOff>
    </xdr:from>
    <xdr:to>
      <xdr:col>31</xdr:col>
      <xdr:colOff>1033146</xdr:colOff>
      <xdr:row>27</xdr:row>
      <xdr:rowOff>461</xdr:rowOff>
    </xdr:to>
    <xdr:pic>
      <xdr:nvPicPr>
        <xdr:cNvPr id="59" name="Immagine 58">
          <a:extLst>
            <a:ext uri="{FF2B5EF4-FFF2-40B4-BE49-F238E27FC236}">
              <a16:creationId xmlns:a16="http://schemas.microsoft.com/office/drawing/2014/main" id="{BB03CD62-2420-4444-8769-4CF1BCCF31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950374" y="3743173"/>
          <a:ext cx="1985432" cy="1393168"/>
        </a:xfrm>
        <a:prstGeom prst="rect">
          <a:avLst/>
        </a:prstGeom>
      </xdr:spPr>
    </xdr:pic>
    <xdr:clientData/>
  </xdr:twoCellAnchor>
  <xdr:twoCellAnchor>
    <xdr:from>
      <xdr:col>30</xdr:col>
      <xdr:colOff>37253</xdr:colOff>
      <xdr:row>23</xdr:row>
      <xdr:rowOff>0</xdr:rowOff>
    </xdr:from>
    <xdr:to>
      <xdr:col>30</xdr:col>
      <xdr:colOff>45720</xdr:colOff>
      <xdr:row>29</xdr:row>
      <xdr:rowOff>43180</xdr:rowOff>
    </xdr:to>
    <xdr:cxnSp macro="">
      <xdr:nvCxnSpPr>
        <xdr:cNvPr id="64" name="Connettore diritto 63">
          <a:extLst>
            <a:ext uri="{FF2B5EF4-FFF2-40B4-BE49-F238E27FC236}">
              <a16:creationId xmlns:a16="http://schemas.microsoft.com/office/drawing/2014/main" id="{28DC42ED-3A18-4FD8-AA08-3E3B7DA9AC98}"/>
            </a:ext>
          </a:extLst>
        </xdr:cNvPr>
        <xdr:cNvCxnSpPr/>
      </xdr:nvCxnSpPr>
      <xdr:spPr>
        <a:xfrm flipV="1">
          <a:off x="28048373" y="4389120"/>
          <a:ext cx="8467" cy="1186180"/>
        </a:xfrm>
        <a:prstGeom prst="line">
          <a:avLst/>
        </a:prstGeom>
        <a:ln w="444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739140</xdr:colOff>
      <xdr:row>15</xdr:row>
      <xdr:rowOff>60960</xdr:rowOff>
    </xdr:from>
    <xdr:to>
      <xdr:col>31</xdr:col>
      <xdr:colOff>228602</xdr:colOff>
      <xdr:row>15</xdr:row>
      <xdr:rowOff>68580</xdr:rowOff>
    </xdr:to>
    <xdr:cxnSp macro="">
      <xdr:nvCxnSpPr>
        <xdr:cNvPr id="66" name="Connettore 2 65">
          <a:extLst>
            <a:ext uri="{FF2B5EF4-FFF2-40B4-BE49-F238E27FC236}">
              <a16:creationId xmlns:a16="http://schemas.microsoft.com/office/drawing/2014/main" id="{CEF26AC6-93A9-4D08-BA72-3A3EA585FF14}"/>
            </a:ext>
          </a:extLst>
        </xdr:cNvPr>
        <xdr:cNvCxnSpPr/>
      </xdr:nvCxnSpPr>
      <xdr:spPr>
        <a:xfrm flipH="1" flipV="1">
          <a:off x="26197560" y="2933700"/>
          <a:ext cx="3345182" cy="7620"/>
        </a:xfrm>
        <a:prstGeom prst="straightConnector1">
          <a:avLst/>
        </a:prstGeom>
        <a:ln w="44450">
          <a:solidFill>
            <a:srgbClr val="92D05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480060</xdr:colOff>
      <xdr:row>15</xdr:row>
      <xdr:rowOff>80433</xdr:rowOff>
    </xdr:from>
    <xdr:to>
      <xdr:col>26</xdr:col>
      <xdr:colOff>195581</xdr:colOff>
      <xdr:row>15</xdr:row>
      <xdr:rowOff>97366</xdr:rowOff>
    </xdr:to>
    <xdr:cxnSp macro="">
      <xdr:nvCxnSpPr>
        <xdr:cNvPr id="68" name="Connettore 2 67">
          <a:extLst>
            <a:ext uri="{FF2B5EF4-FFF2-40B4-BE49-F238E27FC236}">
              <a16:creationId xmlns:a16="http://schemas.microsoft.com/office/drawing/2014/main" id="{269600C5-86D1-47C7-8566-2C9E4392DD51}"/>
            </a:ext>
          </a:extLst>
        </xdr:cNvPr>
        <xdr:cNvCxnSpPr/>
      </xdr:nvCxnSpPr>
      <xdr:spPr>
        <a:xfrm flipH="1" flipV="1">
          <a:off x="23385780" y="2968413"/>
          <a:ext cx="1437641" cy="16933"/>
        </a:xfrm>
        <a:prstGeom prst="straightConnector1">
          <a:avLst/>
        </a:prstGeom>
        <a:ln w="44450">
          <a:solidFill>
            <a:srgbClr val="92D05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569807</xdr:colOff>
      <xdr:row>46</xdr:row>
      <xdr:rowOff>136314</xdr:rowOff>
    </xdr:from>
    <xdr:to>
      <xdr:col>10</xdr:col>
      <xdr:colOff>942341</xdr:colOff>
      <xdr:row>46</xdr:row>
      <xdr:rowOff>140547</xdr:rowOff>
    </xdr:to>
    <xdr:cxnSp macro="">
      <xdr:nvCxnSpPr>
        <xdr:cNvPr id="79" name="Connettore diritto 78">
          <a:extLst>
            <a:ext uri="{FF2B5EF4-FFF2-40B4-BE49-F238E27FC236}">
              <a16:creationId xmlns:a16="http://schemas.microsoft.com/office/drawing/2014/main" id="{3B06C56C-839F-4569-8E85-EA6E59A5C990}"/>
            </a:ext>
          </a:extLst>
        </xdr:cNvPr>
        <xdr:cNvCxnSpPr/>
      </xdr:nvCxnSpPr>
      <xdr:spPr>
        <a:xfrm flipH="1">
          <a:off x="9561407" y="8830734"/>
          <a:ext cx="2201334" cy="4233"/>
        </a:xfrm>
        <a:prstGeom prst="line">
          <a:avLst/>
        </a:prstGeom>
        <a:ln w="44450">
          <a:solidFill>
            <a:srgbClr val="8D3533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441960</xdr:colOff>
      <xdr:row>41</xdr:row>
      <xdr:rowOff>45720</xdr:rowOff>
    </xdr:from>
    <xdr:to>
      <xdr:col>20</xdr:col>
      <xdr:colOff>944880</xdr:colOff>
      <xdr:row>41</xdr:row>
      <xdr:rowOff>60960</xdr:rowOff>
    </xdr:to>
    <xdr:cxnSp macro="">
      <xdr:nvCxnSpPr>
        <xdr:cNvPr id="86" name="Connettore 2 85">
          <a:extLst>
            <a:ext uri="{FF2B5EF4-FFF2-40B4-BE49-F238E27FC236}">
              <a16:creationId xmlns:a16="http://schemas.microsoft.com/office/drawing/2014/main" id="{1892BC8A-DB3F-4A6E-84A3-568DDCD9C1C8}"/>
            </a:ext>
          </a:extLst>
        </xdr:cNvPr>
        <xdr:cNvCxnSpPr/>
      </xdr:nvCxnSpPr>
      <xdr:spPr>
        <a:xfrm>
          <a:off x="17716500" y="7802880"/>
          <a:ext cx="2156460" cy="15240"/>
        </a:xfrm>
        <a:prstGeom prst="straightConnector1">
          <a:avLst/>
        </a:prstGeom>
        <a:ln w="44450">
          <a:solidFill>
            <a:srgbClr val="8D3533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457200</xdr:colOff>
      <xdr:row>41</xdr:row>
      <xdr:rowOff>30480</xdr:rowOff>
    </xdr:from>
    <xdr:to>
      <xdr:col>18</xdr:col>
      <xdr:colOff>457200</xdr:colOff>
      <xdr:row>46</xdr:row>
      <xdr:rowOff>53340</xdr:rowOff>
    </xdr:to>
    <xdr:cxnSp macro="">
      <xdr:nvCxnSpPr>
        <xdr:cNvPr id="87" name="Connettore diritto 86">
          <a:extLst>
            <a:ext uri="{FF2B5EF4-FFF2-40B4-BE49-F238E27FC236}">
              <a16:creationId xmlns:a16="http://schemas.microsoft.com/office/drawing/2014/main" id="{FFE9895C-9DE8-40B5-BA9A-73AFC24DDA95}"/>
            </a:ext>
          </a:extLst>
        </xdr:cNvPr>
        <xdr:cNvCxnSpPr/>
      </xdr:nvCxnSpPr>
      <xdr:spPr>
        <a:xfrm flipV="1">
          <a:off x="17731740" y="7802880"/>
          <a:ext cx="0" cy="990600"/>
        </a:xfrm>
        <a:prstGeom prst="line">
          <a:avLst/>
        </a:prstGeom>
        <a:ln w="44450">
          <a:solidFill>
            <a:srgbClr val="8D3533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604520</xdr:colOff>
      <xdr:row>46</xdr:row>
      <xdr:rowOff>33020</xdr:rowOff>
    </xdr:from>
    <xdr:to>
      <xdr:col>18</xdr:col>
      <xdr:colOff>472440</xdr:colOff>
      <xdr:row>46</xdr:row>
      <xdr:rowOff>38100</xdr:rowOff>
    </xdr:to>
    <xdr:cxnSp macro="">
      <xdr:nvCxnSpPr>
        <xdr:cNvPr id="89" name="Connettore diritto 88">
          <a:extLst>
            <a:ext uri="{FF2B5EF4-FFF2-40B4-BE49-F238E27FC236}">
              <a16:creationId xmlns:a16="http://schemas.microsoft.com/office/drawing/2014/main" id="{E307B0DE-0EC2-449B-A577-715B1E10861B}"/>
            </a:ext>
          </a:extLst>
        </xdr:cNvPr>
        <xdr:cNvCxnSpPr/>
      </xdr:nvCxnSpPr>
      <xdr:spPr>
        <a:xfrm flipH="1" flipV="1">
          <a:off x="17208500" y="8773160"/>
          <a:ext cx="538480" cy="5080"/>
        </a:xfrm>
        <a:prstGeom prst="line">
          <a:avLst/>
        </a:prstGeom>
        <a:ln w="44450">
          <a:solidFill>
            <a:srgbClr val="8D3533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638175</xdr:colOff>
      <xdr:row>34</xdr:row>
      <xdr:rowOff>160020</xdr:rowOff>
    </xdr:from>
    <xdr:to>
      <xdr:col>21</xdr:col>
      <xdr:colOff>638175</xdr:colOff>
      <xdr:row>41</xdr:row>
      <xdr:rowOff>68581</xdr:rowOff>
    </xdr:to>
    <xdr:cxnSp macro="">
      <xdr:nvCxnSpPr>
        <xdr:cNvPr id="94" name="Connettore diritto 93">
          <a:extLst>
            <a:ext uri="{FF2B5EF4-FFF2-40B4-BE49-F238E27FC236}">
              <a16:creationId xmlns:a16="http://schemas.microsoft.com/office/drawing/2014/main" id="{041D6FA5-D890-46CC-88FA-B2661D202E2D}"/>
            </a:ext>
          </a:extLst>
        </xdr:cNvPr>
        <xdr:cNvCxnSpPr/>
      </xdr:nvCxnSpPr>
      <xdr:spPr>
        <a:xfrm flipV="1">
          <a:off x="20554950" y="6608445"/>
          <a:ext cx="0" cy="1175386"/>
        </a:xfrm>
        <a:prstGeom prst="line">
          <a:avLst/>
        </a:prstGeom>
        <a:ln w="44450">
          <a:solidFill>
            <a:srgbClr val="8D3533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657014</xdr:colOff>
      <xdr:row>34</xdr:row>
      <xdr:rowOff>175260</xdr:rowOff>
    </xdr:from>
    <xdr:to>
      <xdr:col>29</xdr:col>
      <xdr:colOff>373380</xdr:colOff>
      <xdr:row>35</xdr:row>
      <xdr:rowOff>0</xdr:rowOff>
    </xdr:to>
    <xdr:cxnSp macro="">
      <xdr:nvCxnSpPr>
        <xdr:cNvPr id="95" name="Connettore diritto 94">
          <a:extLst>
            <a:ext uri="{FF2B5EF4-FFF2-40B4-BE49-F238E27FC236}">
              <a16:creationId xmlns:a16="http://schemas.microsoft.com/office/drawing/2014/main" id="{48C354BA-E42E-4D16-B7C0-E0A02B938A59}"/>
            </a:ext>
          </a:extLst>
        </xdr:cNvPr>
        <xdr:cNvCxnSpPr/>
      </xdr:nvCxnSpPr>
      <xdr:spPr>
        <a:xfrm flipH="1">
          <a:off x="20590934" y="6652260"/>
          <a:ext cx="6856306" cy="7620"/>
        </a:xfrm>
        <a:prstGeom prst="line">
          <a:avLst/>
        </a:prstGeom>
        <a:ln w="44450">
          <a:solidFill>
            <a:srgbClr val="8D3533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7620</xdr:colOff>
      <xdr:row>43</xdr:row>
      <xdr:rowOff>182880</xdr:rowOff>
    </xdr:from>
    <xdr:to>
      <xdr:col>30</xdr:col>
      <xdr:colOff>53340</xdr:colOff>
      <xdr:row>43</xdr:row>
      <xdr:rowOff>182880</xdr:rowOff>
    </xdr:to>
    <xdr:cxnSp macro="">
      <xdr:nvCxnSpPr>
        <xdr:cNvPr id="97" name="Connettore diritto 96">
          <a:extLst>
            <a:ext uri="{FF2B5EF4-FFF2-40B4-BE49-F238E27FC236}">
              <a16:creationId xmlns:a16="http://schemas.microsoft.com/office/drawing/2014/main" id="{5878581E-1EC1-4A03-99AE-8AC1D81A58AA}"/>
            </a:ext>
          </a:extLst>
        </xdr:cNvPr>
        <xdr:cNvCxnSpPr/>
      </xdr:nvCxnSpPr>
      <xdr:spPr>
        <a:xfrm flipH="1">
          <a:off x="25153620" y="8328660"/>
          <a:ext cx="2910840" cy="0"/>
        </a:xfrm>
        <a:prstGeom prst="line">
          <a:avLst/>
        </a:prstGeom>
        <a:ln w="44450">
          <a:solidFill>
            <a:srgbClr val="DAA6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38100</xdr:colOff>
      <xdr:row>40</xdr:row>
      <xdr:rowOff>90747</xdr:rowOff>
    </xdr:from>
    <xdr:to>
      <xdr:col>30</xdr:col>
      <xdr:colOff>38948</xdr:colOff>
      <xdr:row>44</xdr:row>
      <xdr:rowOff>2542</xdr:rowOff>
    </xdr:to>
    <xdr:cxnSp macro="">
      <xdr:nvCxnSpPr>
        <xdr:cNvPr id="99" name="Connettore diritto 98">
          <a:extLst>
            <a:ext uri="{FF2B5EF4-FFF2-40B4-BE49-F238E27FC236}">
              <a16:creationId xmlns:a16="http://schemas.microsoft.com/office/drawing/2014/main" id="{52286758-76E2-4B58-A024-5A97D4D4D4D5}"/>
            </a:ext>
          </a:extLst>
        </xdr:cNvPr>
        <xdr:cNvCxnSpPr/>
      </xdr:nvCxnSpPr>
      <xdr:spPr>
        <a:xfrm flipH="1" flipV="1">
          <a:off x="28049220" y="7672647"/>
          <a:ext cx="848" cy="681415"/>
        </a:xfrm>
        <a:prstGeom prst="line">
          <a:avLst/>
        </a:prstGeom>
        <a:ln w="44450">
          <a:solidFill>
            <a:srgbClr val="DAA6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190077</xdr:colOff>
      <xdr:row>36</xdr:row>
      <xdr:rowOff>117899</xdr:rowOff>
    </xdr:from>
    <xdr:to>
      <xdr:col>21</xdr:col>
      <xdr:colOff>194310</xdr:colOff>
      <xdr:row>39</xdr:row>
      <xdr:rowOff>146685</xdr:rowOff>
    </xdr:to>
    <xdr:cxnSp macro="">
      <xdr:nvCxnSpPr>
        <xdr:cNvPr id="102" name="Connettore diritto 101">
          <a:extLst>
            <a:ext uri="{FF2B5EF4-FFF2-40B4-BE49-F238E27FC236}">
              <a16:creationId xmlns:a16="http://schemas.microsoft.com/office/drawing/2014/main" id="{A971380C-D751-4D37-BD47-FC1295A44A72}"/>
            </a:ext>
          </a:extLst>
        </xdr:cNvPr>
        <xdr:cNvCxnSpPr/>
      </xdr:nvCxnSpPr>
      <xdr:spPr>
        <a:xfrm flipH="1" flipV="1">
          <a:off x="20106852" y="6928274"/>
          <a:ext cx="4233" cy="571711"/>
        </a:xfrm>
        <a:prstGeom prst="line">
          <a:avLst/>
        </a:prstGeom>
        <a:ln w="44450">
          <a:solidFill>
            <a:srgbClr val="DAA6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640080</xdr:colOff>
      <xdr:row>24</xdr:row>
      <xdr:rowOff>30480</xdr:rowOff>
    </xdr:from>
    <xdr:to>
      <xdr:col>30</xdr:col>
      <xdr:colOff>655320</xdr:colOff>
      <xdr:row>31</xdr:row>
      <xdr:rowOff>30480</xdr:rowOff>
    </xdr:to>
    <xdr:cxnSp macro="">
      <xdr:nvCxnSpPr>
        <xdr:cNvPr id="110" name="Connettore diritto 109">
          <a:extLst>
            <a:ext uri="{FF2B5EF4-FFF2-40B4-BE49-F238E27FC236}">
              <a16:creationId xmlns:a16="http://schemas.microsoft.com/office/drawing/2014/main" id="{238EAB2B-AFA3-49BE-81E9-452863E1C4D9}"/>
            </a:ext>
          </a:extLst>
        </xdr:cNvPr>
        <xdr:cNvCxnSpPr/>
      </xdr:nvCxnSpPr>
      <xdr:spPr>
        <a:xfrm flipV="1">
          <a:off x="28651200" y="4610100"/>
          <a:ext cx="15240" cy="1341120"/>
        </a:xfrm>
        <a:prstGeom prst="line">
          <a:avLst/>
        </a:prstGeom>
        <a:ln w="444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220980</xdr:colOff>
      <xdr:row>15</xdr:row>
      <xdr:rowOff>60960</xdr:rowOff>
    </xdr:from>
    <xdr:to>
      <xdr:col>31</xdr:col>
      <xdr:colOff>242147</xdr:colOff>
      <xdr:row>23</xdr:row>
      <xdr:rowOff>847</xdr:rowOff>
    </xdr:to>
    <xdr:cxnSp macro="">
      <xdr:nvCxnSpPr>
        <xdr:cNvPr id="115" name="Connettore diritto 114">
          <a:extLst>
            <a:ext uri="{FF2B5EF4-FFF2-40B4-BE49-F238E27FC236}">
              <a16:creationId xmlns:a16="http://schemas.microsoft.com/office/drawing/2014/main" id="{A16C82AF-7D52-4D39-ADB8-F6D640F6AF7F}"/>
            </a:ext>
          </a:extLst>
        </xdr:cNvPr>
        <xdr:cNvCxnSpPr/>
      </xdr:nvCxnSpPr>
      <xdr:spPr>
        <a:xfrm flipH="1" flipV="1">
          <a:off x="29123640" y="2948940"/>
          <a:ext cx="21167" cy="1425787"/>
        </a:xfrm>
        <a:prstGeom prst="line">
          <a:avLst/>
        </a:prstGeom>
        <a:ln w="44450">
          <a:solidFill>
            <a:srgbClr val="92D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15</xdr:col>
      <xdr:colOff>258234</xdr:colOff>
      <xdr:row>32</xdr:row>
      <xdr:rowOff>151977</xdr:rowOff>
    </xdr:from>
    <xdr:to>
      <xdr:col>18</xdr:col>
      <xdr:colOff>523241</xdr:colOff>
      <xdr:row>40</xdr:row>
      <xdr:rowOff>29633</xdr:rowOff>
    </xdr:to>
    <xdr:pic>
      <xdr:nvPicPr>
        <xdr:cNvPr id="119" name="Immagine 118">
          <a:extLst>
            <a:ext uri="{FF2B5EF4-FFF2-40B4-BE49-F238E27FC236}">
              <a16:creationId xmlns:a16="http://schemas.microsoft.com/office/drawing/2014/main" id="{A5FA3C54-BED7-4E23-B5F8-37D1FB59B8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43014" y="6263217"/>
          <a:ext cx="2154767" cy="1340696"/>
        </a:xfrm>
        <a:prstGeom prst="rect">
          <a:avLst/>
        </a:prstGeom>
      </xdr:spPr>
    </xdr:pic>
    <xdr:clientData/>
  </xdr:twoCellAnchor>
  <xdr:twoCellAnchor>
    <xdr:from>
      <xdr:col>16</xdr:col>
      <xdr:colOff>515622</xdr:colOff>
      <xdr:row>36</xdr:row>
      <xdr:rowOff>99060</xdr:rowOff>
    </xdr:from>
    <xdr:to>
      <xdr:col>21</xdr:col>
      <xdr:colOff>209974</xdr:colOff>
      <xdr:row>36</xdr:row>
      <xdr:rowOff>124460</xdr:rowOff>
    </xdr:to>
    <xdr:cxnSp macro="">
      <xdr:nvCxnSpPr>
        <xdr:cNvPr id="120" name="Connettore 2 119">
          <a:extLst>
            <a:ext uri="{FF2B5EF4-FFF2-40B4-BE49-F238E27FC236}">
              <a16:creationId xmlns:a16="http://schemas.microsoft.com/office/drawing/2014/main" id="{6EC9CF4E-019E-4FA8-AA56-BFC7B7F97A7D}"/>
            </a:ext>
          </a:extLst>
        </xdr:cNvPr>
        <xdr:cNvCxnSpPr/>
      </xdr:nvCxnSpPr>
      <xdr:spPr>
        <a:xfrm flipH="1" flipV="1">
          <a:off x="16510002" y="6941820"/>
          <a:ext cx="3633892" cy="25400"/>
        </a:xfrm>
        <a:prstGeom prst="straightConnector1">
          <a:avLst/>
        </a:prstGeom>
        <a:ln w="44450">
          <a:solidFill>
            <a:srgbClr val="DAA6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11006</xdr:colOff>
      <xdr:row>36</xdr:row>
      <xdr:rowOff>106680</xdr:rowOff>
    </xdr:from>
    <xdr:to>
      <xdr:col>16</xdr:col>
      <xdr:colOff>7620</xdr:colOff>
      <xdr:row>36</xdr:row>
      <xdr:rowOff>112606</xdr:rowOff>
    </xdr:to>
    <xdr:cxnSp macro="">
      <xdr:nvCxnSpPr>
        <xdr:cNvPr id="121" name="Connettore 2 120">
          <a:extLst>
            <a:ext uri="{FF2B5EF4-FFF2-40B4-BE49-F238E27FC236}">
              <a16:creationId xmlns:a16="http://schemas.microsoft.com/office/drawing/2014/main" id="{86779DC4-B080-4B00-9282-C92F18A50C26}"/>
            </a:ext>
          </a:extLst>
        </xdr:cNvPr>
        <xdr:cNvCxnSpPr/>
      </xdr:nvCxnSpPr>
      <xdr:spPr>
        <a:xfrm flipH="1">
          <a:off x="12820226" y="6949440"/>
          <a:ext cx="3181774" cy="5926"/>
        </a:xfrm>
        <a:prstGeom prst="straightConnector1">
          <a:avLst/>
        </a:prstGeom>
        <a:ln w="44450">
          <a:solidFill>
            <a:srgbClr val="DAA6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175260</xdr:colOff>
      <xdr:row>43</xdr:row>
      <xdr:rowOff>198120</xdr:rowOff>
    </xdr:from>
    <xdr:to>
      <xdr:col>22</xdr:col>
      <xdr:colOff>1005840</xdr:colOff>
      <xdr:row>44</xdr:row>
      <xdr:rowOff>0</xdr:rowOff>
    </xdr:to>
    <xdr:cxnSp macro="">
      <xdr:nvCxnSpPr>
        <xdr:cNvPr id="144" name="Connettore diritto 143">
          <a:extLst>
            <a:ext uri="{FF2B5EF4-FFF2-40B4-BE49-F238E27FC236}">
              <a16:creationId xmlns:a16="http://schemas.microsoft.com/office/drawing/2014/main" id="{6B79C4BB-6FA0-418C-B9B5-B8C4A55B6B1C}"/>
            </a:ext>
          </a:extLst>
        </xdr:cNvPr>
        <xdr:cNvCxnSpPr/>
      </xdr:nvCxnSpPr>
      <xdr:spPr>
        <a:xfrm flipH="1" flipV="1">
          <a:off x="20109180" y="8343900"/>
          <a:ext cx="1805940" cy="7620"/>
        </a:xfrm>
        <a:prstGeom prst="line">
          <a:avLst/>
        </a:prstGeom>
        <a:ln w="44450">
          <a:solidFill>
            <a:srgbClr val="DAA6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586740</xdr:colOff>
      <xdr:row>45</xdr:row>
      <xdr:rowOff>110067</xdr:rowOff>
    </xdr:from>
    <xdr:to>
      <xdr:col>8</xdr:col>
      <xdr:colOff>594360</xdr:colOff>
      <xdr:row>46</xdr:row>
      <xdr:rowOff>148168</xdr:rowOff>
    </xdr:to>
    <xdr:cxnSp macro="">
      <xdr:nvCxnSpPr>
        <xdr:cNvPr id="41" name="Connettore diritto 40">
          <a:extLst>
            <a:ext uri="{FF2B5EF4-FFF2-40B4-BE49-F238E27FC236}">
              <a16:creationId xmlns:a16="http://schemas.microsoft.com/office/drawing/2014/main" id="{1078E85A-D20F-45D6-B0AC-76E1929F9A60}"/>
            </a:ext>
          </a:extLst>
        </xdr:cNvPr>
        <xdr:cNvCxnSpPr/>
      </xdr:nvCxnSpPr>
      <xdr:spPr>
        <a:xfrm flipH="1" flipV="1">
          <a:off x="9578340" y="8591127"/>
          <a:ext cx="7620" cy="228601"/>
        </a:xfrm>
        <a:prstGeom prst="line">
          <a:avLst/>
        </a:prstGeom>
        <a:ln w="44450">
          <a:solidFill>
            <a:srgbClr val="8D3533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487680</xdr:colOff>
      <xdr:row>41</xdr:row>
      <xdr:rowOff>45720</xdr:rowOff>
    </xdr:from>
    <xdr:to>
      <xdr:col>21</xdr:col>
      <xdr:colOff>655320</xdr:colOff>
      <xdr:row>41</xdr:row>
      <xdr:rowOff>45722</xdr:rowOff>
    </xdr:to>
    <xdr:cxnSp macro="">
      <xdr:nvCxnSpPr>
        <xdr:cNvPr id="47" name="Connettore diritto 46">
          <a:extLst>
            <a:ext uri="{FF2B5EF4-FFF2-40B4-BE49-F238E27FC236}">
              <a16:creationId xmlns:a16="http://schemas.microsoft.com/office/drawing/2014/main" id="{B9E25035-8369-49D6-80FD-B889DAD0EE4F}"/>
            </a:ext>
          </a:extLst>
        </xdr:cNvPr>
        <xdr:cNvCxnSpPr/>
      </xdr:nvCxnSpPr>
      <xdr:spPr>
        <a:xfrm flipV="1">
          <a:off x="20421600" y="7818120"/>
          <a:ext cx="167640" cy="2"/>
        </a:xfrm>
        <a:prstGeom prst="line">
          <a:avLst/>
        </a:prstGeom>
        <a:ln w="44450">
          <a:solidFill>
            <a:srgbClr val="8D3533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335280</xdr:colOff>
      <xdr:row>31</xdr:row>
      <xdr:rowOff>15240</xdr:rowOff>
    </xdr:from>
    <xdr:to>
      <xdr:col>29</xdr:col>
      <xdr:colOff>342900</xdr:colOff>
      <xdr:row>34</xdr:row>
      <xdr:rowOff>175260</xdr:rowOff>
    </xdr:to>
    <xdr:cxnSp macro="">
      <xdr:nvCxnSpPr>
        <xdr:cNvPr id="51" name="Connettore diritto 50">
          <a:extLst>
            <a:ext uri="{FF2B5EF4-FFF2-40B4-BE49-F238E27FC236}">
              <a16:creationId xmlns:a16="http://schemas.microsoft.com/office/drawing/2014/main" id="{CFEF1CE6-5713-4CC7-A29C-4F16694C696D}"/>
            </a:ext>
          </a:extLst>
        </xdr:cNvPr>
        <xdr:cNvCxnSpPr/>
      </xdr:nvCxnSpPr>
      <xdr:spPr>
        <a:xfrm flipH="1" flipV="1">
          <a:off x="27409140" y="5935980"/>
          <a:ext cx="7620" cy="716280"/>
        </a:xfrm>
        <a:prstGeom prst="line">
          <a:avLst/>
        </a:prstGeom>
        <a:ln w="44450">
          <a:solidFill>
            <a:srgbClr val="8D3533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320040</xdr:colOff>
      <xdr:row>30</xdr:row>
      <xdr:rowOff>178647</xdr:rowOff>
    </xdr:from>
    <xdr:to>
      <xdr:col>29</xdr:col>
      <xdr:colOff>756920</xdr:colOff>
      <xdr:row>31</xdr:row>
      <xdr:rowOff>0</xdr:rowOff>
    </xdr:to>
    <xdr:cxnSp macro="">
      <xdr:nvCxnSpPr>
        <xdr:cNvPr id="53" name="Connettore 2 52">
          <a:extLst>
            <a:ext uri="{FF2B5EF4-FFF2-40B4-BE49-F238E27FC236}">
              <a16:creationId xmlns:a16="http://schemas.microsoft.com/office/drawing/2014/main" id="{4A6E86AC-775B-4985-8ED7-1AD29B64563E}"/>
            </a:ext>
          </a:extLst>
        </xdr:cNvPr>
        <xdr:cNvCxnSpPr/>
      </xdr:nvCxnSpPr>
      <xdr:spPr>
        <a:xfrm flipV="1">
          <a:off x="27393900" y="5916507"/>
          <a:ext cx="436880" cy="4233"/>
        </a:xfrm>
        <a:prstGeom prst="straightConnector1">
          <a:avLst/>
        </a:prstGeom>
        <a:ln w="44450">
          <a:solidFill>
            <a:srgbClr val="8D3533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830580</xdr:colOff>
      <xdr:row>14</xdr:row>
      <xdr:rowOff>91440</xdr:rowOff>
    </xdr:from>
    <xdr:to>
      <xdr:col>0</xdr:col>
      <xdr:colOff>1369060</xdr:colOff>
      <xdr:row>14</xdr:row>
      <xdr:rowOff>96520</xdr:rowOff>
    </xdr:to>
    <xdr:cxnSp macro="">
      <xdr:nvCxnSpPr>
        <xdr:cNvPr id="55" name="Connettore diritto 54">
          <a:extLst>
            <a:ext uri="{FF2B5EF4-FFF2-40B4-BE49-F238E27FC236}">
              <a16:creationId xmlns:a16="http://schemas.microsoft.com/office/drawing/2014/main" id="{5B9BF381-DA44-4B66-88BD-34E64FD093B8}"/>
            </a:ext>
          </a:extLst>
        </xdr:cNvPr>
        <xdr:cNvCxnSpPr/>
      </xdr:nvCxnSpPr>
      <xdr:spPr>
        <a:xfrm flipH="1" flipV="1">
          <a:off x="830580" y="3528060"/>
          <a:ext cx="538480" cy="5080"/>
        </a:xfrm>
        <a:prstGeom prst="line">
          <a:avLst/>
        </a:prstGeom>
        <a:ln w="44450">
          <a:solidFill>
            <a:srgbClr val="8D3533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845820</xdr:colOff>
      <xdr:row>13</xdr:row>
      <xdr:rowOff>91440</xdr:rowOff>
    </xdr:from>
    <xdr:to>
      <xdr:col>0</xdr:col>
      <xdr:colOff>1384300</xdr:colOff>
      <xdr:row>13</xdr:row>
      <xdr:rowOff>96520</xdr:rowOff>
    </xdr:to>
    <xdr:cxnSp macro="">
      <xdr:nvCxnSpPr>
        <xdr:cNvPr id="56" name="Connettore diritto 55">
          <a:extLst>
            <a:ext uri="{FF2B5EF4-FFF2-40B4-BE49-F238E27FC236}">
              <a16:creationId xmlns:a16="http://schemas.microsoft.com/office/drawing/2014/main" id="{0016A188-868F-41EF-B9E6-82FCA8C8D911}"/>
            </a:ext>
          </a:extLst>
        </xdr:cNvPr>
        <xdr:cNvCxnSpPr/>
      </xdr:nvCxnSpPr>
      <xdr:spPr>
        <a:xfrm flipH="1" flipV="1">
          <a:off x="845820" y="3345180"/>
          <a:ext cx="538480" cy="5080"/>
        </a:xfrm>
        <a:prstGeom prst="line">
          <a:avLst/>
        </a:prstGeom>
        <a:ln w="44450">
          <a:solidFill>
            <a:srgbClr val="7030A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609600</xdr:colOff>
      <xdr:row>31</xdr:row>
      <xdr:rowOff>7620</xdr:rowOff>
    </xdr:from>
    <xdr:to>
      <xdr:col>8</xdr:col>
      <xdr:colOff>624840</xdr:colOff>
      <xdr:row>34</xdr:row>
      <xdr:rowOff>60960</xdr:rowOff>
    </xdr:to>
    <xdr:cxnSp macro="">
      <xdr:nvCxnSpPr>
        <xdr:cNvPr id="57" name="Connettore 2 56">
          <a:extLst>
            <a:ext uri="{FF2B5EF4-FFF2-40B4-BE49-F238E27FC236}">
              <a16:creationId xmlns:a16="http://schemas.microsoft.com/office/drawing/2014/main" id="{BAE8F491-42B8-4C58-B4DB-B6057742BCA8}"/>
            </a:ext>
          </a:extLst>
        </xdr:cNvPr>
        <xdr:cNvCxnSpPr/>
      </xdr:nvCxnSpPr>
      <xdr:spPr>
        <a:xfrm flipV="1">
          <a:off x="6697980" y="5875020"/>
          <a:ext cx="15240" cy="609600"/>
        </a:xfrm>
        <a:prstGeom prst="straightConnector1">
          <a:avLst/>
        </a:prstGeom>
        <a:ln w="44450">
          <a:solidFill>
            <a:srgbClr val="7030A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30480</xdr:colOff>
      <xdr:row>22</xdr:row>
      <xdr:rowOff>167640</xdr:rowOff>
    </xdr:from>
    <xdr:to>
      <xdr:col>30</xdr:col>
      <xdr:colOff>419100</xdr:colOff>
      <xdr:row>22</xdr:row>
      <xdr:rowOff>167640</xdr:rowOff>
    </xdr:to>
    <xdr:cxnSp macro="">
      <xdr:nvCxnSpPr>
        <xdr:cNvPr id="61" name="Connettore 2 60">
          <a:extLst>
            <a:ext uri="{FF2B5EF4-FFF2-40B4-BE49-F238E27FC236}">
              <a16:creationId xmlns:a16="http://schemas.microsoft.com/office/drawing/2014/main" id="{07A91E55-4F65-489E-94F8-66DD39AED019}"/>
            </a:ext>
          </a:extLst>
        </xdr:cNvPr>
        <xdr:cNvCxnSpPr/>
      </xdr:nvCxnSpPr>
      <xdr:spPr>
        <a:xfrm>
          <a:off x="28041600" y="4366260"/>
          <a:ext cx="388620" cy="0"/>
        </a:xfrm>
        <a:prstGeom prst="straightConnector1">
          <a:avLst/>
        </a:prstGeom>
        <a:ln w="444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347134</xdr:colOff>
      <xdr:row>31</xdr:row>
      <xdr:rowOff>21167</xdr:rowOff>
    </xdr:from>
    <xdr:to>
      <xdr:col>30</xdr:col>
      <xdr:colOff>655320</xdr:colOff>
      <xdr:row>31</xdr:row>
      <xdr:rowOff>22860</xdr:rowOff>
    </xdr:to>
    <xdr:cxnSp macro="">
      <xdr:nvCxnSpPr>
        <xdr:cNvPr id="65" name="Connettore 2 64">
          <a:extLst>
            <a:ext uri="{FF2B5EF4-FFF2-40B4-BE49-F238E27FC236}">
              <a16:creationId xmlns:a16="http://schemas.microsoft.com/office/drawing/2014/main" id="{2B82AED6-A589-42E1-BA82-DCBA3950FC3D}"/>
            </a:ext>
          </a:extLst>
        </xdr:cNvPr>
        <xdr:cNvCxnSpPr/>
      </xdr:nvCxnSpPr>
      <xdr:spPr>
        <a:xfrm flipH="1" flipV="1">
          <a:off x="28358254" y="5941907"/>
          <a:ext cx="308186" cy="1693"/>
        </a:xfrm>
        <a:prstGeom prst="straightConnector1">
          <a:avLst/>
        </a:prstGeom>
        <a:ln w="444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159174</xdr:colOff>
      <xdr:row>42</xdr:row>
      <xdr:rowOff>158326</xdr:rowOff>
    </xdr:from>
    <xdr:to>
      <xdr:col>31</xdr:col>
      <xdr:colOff>161713</xdr:colOff>
      <xdr:row>45</xdr:row>
      <xdr:rowOff>35560</xdr:rowOff>
    </xdr:to>
    <xdr:cxnSp macro="">
      <xdr:nvCxnSpPr>
        <xdr:cNvPr id="67" name="Connettore 2 66">
          <a:extLst>
            <a:ext uri="{FF2B5EF4-FFF2-40B4-BE49-F238E27FC236}">
              <a16:creationId xmlns:a16="http://schemas.microsoft.com/office/drawing/2014/main" id="{02ACDB69-EBB8-4068-8CBD-0766CBA6CA5B}"/>
            </a:ext>
          </a:extLst>
        </xdr:cNvPr>
        <xdr:cNvCxnSpPr/>
      </xdr:nvCxnSpPr>
      <xdr:spPr>
        <a:xfrm flipV="1">
          <a:off x="29061834" y="8113606"/>
          <a:ext cx="2539" cy="456354"/>
        </a:xfrm>
        <a:prstGeom prst="straightConnector1">
          <a:avLst/>
        </a:prstGeom>
        <a:ln w="44450">
          <a:solidFill>
            <a:srgbClr val="F424F4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830580</xdr:colOff>
      <xdr:row>16</xdr:row>
      <xdr:rowOff>114300</xdr:rowOff>
    </xdr:from>
    <xdr:to>
      <xdr:col>0</xdr:col>
      <xdr:colOff>1369060</xdr:colOff>
      <xdr:row>16</xdr:row>
      <xdr:rowOff>119380</xdr:rowOff>
    </xdr:to>
    <xdr:cxnSp macro="">
      <xdr:nvCxnSpPr>
        <xdr:cNvPr id="70" name="Connettore diritto 69">
          <a:extLst>
            <a:ext uri="{FF2B5EF4-FFF2-40B4-BE49-F238E27FC236}">
              <a16:creationId xmlns:a16="http://schemas.microsoft.com/office/drawing/2014/main" id="{D85B2111-2F4B-4F96-81D5-702D286536C1}"/>
            </a:ext>
          </a:extLst>
        </xdr:cNvPr>
        <xdr:cNvCxnSpPr/>
      </xdr:nvCxnSpPr>
      <xdr:spPr>
        <a:xfrm flipH="1" flipV="1">
          <a:off x="830580" y="3924300"/>
          <a:ext cx="538480" cy="5080"/>
        </a:xfrm>
        <a:prstGeom prst="line">
          <a:avLst/>
        </a:prstGeom>
        <a:ln w="44450">
          <a:solidFill>
            <a:srgbClr val="F424F4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876300</xdr:colOff>
      <xdr:row>22</xdr:row>
      <xdr:rowOff>160020</xdr:rowOff>
    </xdr:from>
    <xdr:to>
      <xdr:col>31</xdr:col>
      <xdr:colOff>266700</xdr:colOff>
      <xdr:row>22</xdr:row>
      <xdr:rowOff>160022</xdr:rowOff>
    </xdr:to>
    <xdr:cxnSp macro="">
      <xdr:nvCxnSpPr>
        <xdr:cNvPr id="71" name="Connettore diritto 70">
          <a:extLst>
            <a:ext uri="{FF2B5EF4-FFF2-40B4-BE49-F238E27FC236}">
              <a16:creationId xmlns:a16="http://schemas.microsoft.com/office/drawing/2014/main" id="{800DCED3-A660-426B-ADB4-E554ED3586B3}"/>
            </a:ext>
          </a:extLst>
        </xdr:cNvPr>
        <xdr:cNvCxnSpPr/>
      </xdr:nvCxnSpPr>
      <xdr:spPr>
        <a:xfrm flipV="1">
          <a:off x="28887420" y="4358640"/>
          <a:ext cx="281940" cy="2"/>
        </a:xfrm>
        <a:prstGeom prst="line">
          <a:avLst/>
        </a:prstGeom>
        <a:ln w="44450">
          <a:solidFill>
            <a:srgbClr val="92D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822960</xdr:colOff>
      <xdr:row>17</xdr:row>
      <xdr:rowOff>91440</xdr:rowOff>
    </xdr:from>
    <xdr:to>
      <xdr:col>0</xdr:col>
      <xdr:colOff>1361440</xdr:colOff>
      <xdr:row>17</xdr:row>
      <xdr:rowOff>96520</xdr:rowOff>
    </xdr:to>
    <xdr:cxnSp macro="">
      <xdr:nvCxnSpPr>
        <xdr:cNvPr id="73" name="Connettore diritto 72">
          <a:extLst>
            <a:ext uri="{FF2B5EF4-FFF2-40B4-BE49-F238E27FC236}">
              <a16:creationId xmlns:a16="http://schemas.microsoft.com/office/drawing/2014/main" id="{6E0F8BC4-27E6-4157-8E34-0FA7CC9DCFF2}"/>
            </a:ext>
          </a:extLst>
        </xdr:cNvPr>
        <xdr:cNvCxnSpPr/>
      </xdr:nvCxnSpPr>
      <xdr:spPr>
        <a:xfrm flipH="1" flipV="1">
          <a:off x="822960" y="4099560"/>
          <a:ext cx="538480" cy="5080"/>
        </a:xfrm>
        <a:prstGeom prst="line">
          <a:avLst/>
        </a:prstGeom>
        <a:ln w="44450">
          <a:solidFill>
            <a:srgbClr val="92D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838200</xdr:colOff>
      <xdr:row>15</xdr:row>
      <xdr:rowOff>106680</xdr:rowOff>
    </xdr:from>
    <xdr:to>
      <xdr:col>0</xdr:col>
      <xdr:colOff>1376680</xdr:colOff>
      <xdr:row>15</xdr:row>
      <xdr:rowOff>111760</xdr:rowOff>
    </xdr:to>
    <xdr:cxnSp macro="">
      <xdr:nvCxnSpPr>
        <xdr:cNvPr id="74" name="Connettore diritto 73">
          <a:extLst>
            <a:ext uri="{FF2B5EF4-FFF2-40B4-BE49-F238E27FC236}">
              <a16:creationId xmlns:a16="http://schemas.microsoft.com/office/drawing/2014/main" id="{BF7F0137-14D0-4E19-991A-B84A17994A0A}"/>
            </a:ext>
          </a:extLst>
        </xdr:cNvPr>
        <xdr:cNvCxnSpPr/>
      </xdr:nvCxnSpPr>
      <xdr:spPr>
        <a:xfrm flipH="1" flipV="1">
          <a:off x="838200" y="3733800"/>
          <a:ext cx="538480" cy="5080"/>
        </a:xfrm>
        <a:prstGeom prst="line">
          <a:avLst/>
        </a:prstGeom>
        <a:ln w="44450">
          <a:solidFill>
            <a:srgbClr val="DAA6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190500</xdr:colOff>
      <xdr:row>42</xdr:row>
      <xdr:rowOff>106680</xdr:rowOff>
    </xdr:from>
    <xdr:to>
      <xdr:col>21</xdr:col>
      <xdr:colOff>198120</xdr:colOff>
      <xdr:row>44</xdr:row>
      <xdr:rowOff>0</xdr:rowOff>
    </xdr:to>
    <xdr:cxnSp macro="">
      <xdr:nvCxnSpPr>
        <xdr:cNvPr id="85" name="Connettore 2 84">
          <a:extLst>
            <a:ext uri="{FF2B5EF4-FFF2-40B4-BE49-F238E27FC236}">
              <a16:creationId xmlns:a16="http://schemas.microsoft.com/office/drawing/2014/main" id="{3BB42EDB-ECA7-4985-A522-79350CC63ACB}"/>
            </a:ext>
          </a:extLst>
        </xdr:cNvPr>
        <xdr:cNvCxnSpPr/>
      </xdr:nvCxnSpPr>
      <xdr:spPr>
        <a:xfrm flipV="1">
          <a:off x="20124420" y="8061960"/>
          <a:ext cx="7620" cy="289560"/>
        </a:xfrm>
        <a:prstGeom prst="straightConnector1">
          <a:avLst/>
        </a:prstGeom>
        <a:ln w="44450">
          <a:solidFill>
            <a:srgbClr val="DAA6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869527</xdr:colOff>
      <xdr:row>35</xdr:row>
      <xdr:rowOff>171875</xdr:rowOff>
    </xdr:from>
    <xdr:to>
      <xdr:col>11</xdr:col>
      <xdr:colOff>662940</xdr:colOff>
      <xdr:row>35</xdr:row>
      <xdr:rowOff>175260</xdr:rowOff>
    </xdr:to>
    <xdr:cxnSp macro="">
      <xdr:nvCxnSpPr>
        <xdr:cNvPr id="88" name="Connettore 2 87">
          <a:extLst>
            <a:ext uri="{FF2B5EF4-FFF2-40B4-BE49-F238E27FC236}">
              <a16:creationId xmlns:a16="http://schemas.microsoft.com/office/drawing/2014/main" id="{C4F2D6AB-3D2B-494F-B844-651D6785E5B9}"/>
            </a:ext>
          </a:extLst>
        </xdr:cNvPr>
        <xdr:cNvCxnSpPr/>
      </xdr:nvCxnSpPr>
      <xdr:spPr>
        <a:xfrm flipH="1" flipV="1">
          <a:off x="9861127" y="6831755"/>
          <a:ext cx="2605193" cy="3385"/>
        </a:xfrm>
        <a:prstGeom prst="straightConnector1">
          <a:avLst/>
        </a:prstGeom>
        <a:ln w="44450">
          <a:solidFill>
            <a:srgbClr val="DAA6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289560</xdr:colOff>
      <xdr:row>33</xdr:row>
      <xdr:rowOff>152400</xdr:rowOff>
    </xdr:from>
    <xdr:to>
      <xdr:col>16</xdr:col>
      <xdr:colOff>289560</xdr:colOff>
      <xdr:row>35</xdr:row>
      <xdr:rowOff>45720</xdr:rowOff>
    </xdr:to>
    <xdr:cxnSp macro="">
      <xdr:nvCxnSpPr>
        <xdr:cNvPr id="90" name="Connettore 2 89">
          <a:extLst>
            <a:ext uri="{FF2B5EF4-FFF2-40B4-BE49-F238E27FC236}">
              <a16:creationId xmlns:a16="http://schemas.microsoft.com/office/drawing/2014/main" id="{CA34851F-90D5-4DD9-818C-421CCFCEE5FE}"/>
            </a:ext>
          </a:extLst>
        </xdr:cNvPr>
        <xdr:cNvCxnSpPr/>
      </xdr:nvCxnSpPr>
      <xdr:spPr>
        <a:xfrm>
          <a:off x="16283940" y="6446520"/>
          <a:ext cx="0" cy="259080"/>
        </a:xfrm>
        <a:prstGeom prst="straightConnector1">
          <a:avLst/>
        </a:prstGeom>
        <a:ln w="44450">
          <a:solidFill>
            <a:srgbClr val="0070C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259080</xdr:colOff>
      <xdr:row>37</xdr:row>
      <xdr:rowOff>167640</xdr:rowOff>
    </xdr:from>
    <xdr:to>
      <xdr:col>16</xdr:col>
      <xdr:colOff>259080</xdr:colOff>
      <xdr:row>39</xdr:row>
      <xdr:rowOff>53340</xdr:rowOff>
    </xdr:to>
    <xdr:cxnSp macro="">
      <xdr:nvCxnSpPr>
        <xdr:cNvPr id="92" name="Connettore 2 91">
          <a:extLst>
            <a:ext uri="{FF2B5EF4-FFF2-40B4-BE49-F238E27FC236}">
              <a16:creationId xmlns:a16="http://schemas.microsoft.com/office/drawing/2014/main" id="{D118EE04-9AC9-4160-8E69-42A1542B0F08}"/>
            </a:ext>
          </a:extLst>
        </xdr:cNvPr>
        <xdr:cNvCxnSpPr/>
      </xdr:nvCxnSpPr>
      <xdr:spPr>
        <a:xfrm>
          <a:off x="16253460" y="7193280"/>
          <a:ext cx="0" cy="259080"/>
        </a:xfrm>
        <a:prstGeom prst="straightConnector1">
          <a:avLst/>
        </a:prstGeom>
        <a:ln w="44450">
          <a:solidFill>
            <a:srgbClr val="0070C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822960</xdr:colOff>
      <xdr:row>18</xdr:row>
      <xdr:rowOff>106680</xdr:rowOff>
    </xdr:from>
    <xdr:to>
      <xdr:col>0</xdr:col>
      <xdr:colOff>1361440</xdr:colOff>
      <xdr:row>18</xdr:row>
      <xdr:rowOff>111760</xdr:rowOff>
    </xdr:to>
    <xdr:cxnSp macro="">
      <xdr:nvCxnSpPr>
        <xdr:cNvPr id="93" name="Connettore diritto 92">
          <a:extLst>
            <a:ext uri="{FF2B5EF4-FFF2-40B4-BE49-F238E27FC236}">
              <a16:creationId xmlns:a16="http://schemas.microsoft.com/office/drawing/2014/main" id="{63FC39F2-6C63-43B4-B793-B3D870E5F682}"/>
            </a:ext>
          </a:extLst>
        </xdr:cNvPr>
        <xdr:cNvCxnSpPr/>
      </xdr:nvCxnSpPr>
      <xdr:spPr>
        <a:xfrm flipH="1" flipV="1">
          <a:off x="822960" y="4297680"/>
          <a:ext cx="538480" cy="5080"/>
        </a:xfrm>
        <a:prstGeom prst="line">
          <a:avLst/>
        </a:prstGeom>
        <a:ln w="44450"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190500</xdr:colOff>
      <xdr:row>23</xdr:row>
      <xdr:rowOff>144780</xdr:rowOff>
    </xdr:from>
    <xdr:to>
      <xdr:col>30</xdr:col>
      <xdr:colOff>441960</xdr:colOff>
      <xdr:row>25</xdr:row>
      <xdr:rowOff>0</xdr:rowOff>
    </xdr:to>
    <xdr:cxnSp macro="">
      <xdr:nvCxnSpPr>
        <xdr:cNvPr id="98" name="Connettore 2 97">
          <a:extLst>
            <a:ext uri="{FF2B5EF4-FFF2-40B4-BE49-F238E27FC236}">
              <a16:creationId xmlns:a16="http://schemas.microsoft.com/office/drawing/2014/main" id="{6193A93E-43D2-4438-9EF0-755D1D00282C}"/>
            </a:ext>
          </a:extLst>
        </xdr:cNvPr>
        <xdr:cNvCxnSpPr/>
      </xdr:nvCxnSpPr>
      <xdr:spPr>
        <a:xfrm flipV="1">
          <a:off x="28201620" y="4533900"/>
          <a:ext cx="251460" cy="228600"/>
        </a:xfrm>
        <a:prstGeom prst="straightConnector1">
          <a:avLst/>
        </a:prstGeom>
        <a:ln w="44450">
          <a:solidFill>
            <a:srgbClr val="0070C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99060</xdr:colOff>
      <xdr:row>21</xdr:row>
      <xdr:rowOff>106680</xdr:rowOff>
    </xdr:from>
    <xdr:to>
      <xdr:col>30</xdr:col>
      <xdr:colOff>365760</xdr:colOff>
      <xdr:row>22</xdr:row>
      <xdr:rowOff>60960</xdr:rowOff>
    </xdr:to>
    <xdr:cxnSp macro="">
      <xdr:nvCxnSpPr>
        <xdr:cNvPr id="100" name="Connettore 2 99">
          <a:extLst>
            <a:ext uri="{FF2B5EF4-FFF2-40B4-BE49-F238E27FC236}">
              <a16:creationId xmlns:a16="http://schemas.microsoft.com/office/drawing/2014/main" id="{9104B520-FCAF-45B8-97DA-81B298714D3D}"/>
            </a:ext>
          </a:extLst>
        </xdr:cNvPr>
        <xdr:cNvCxnSpPr/>
      </xdr:nvCxnSpPr>
      <xdr:spPr>
        <a:xfrm flipH="1" flipV="1">
          <a:off x="28110180" y="4114800"/>
          <a:ext cx="266700" cy="144780"/>
        </a:xfrm>
        <a:prstGeom prst="straightConnector1">
          <a:avLst/>
        </a:prstGeom>
        <a:ln w="44450">
          <a:solidFill>
            <a:srgbClr val="0070C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4</xdr:col>
      <xdr:colOff>575734</xdr:colOff>
      <xdr:row>36</xdr:row>
      <xdr:rowOff>84667</xdr:rowOff>
    </xdr:from>
    <xdr:to>
      <xdr:col>6</xdr:col>
      <xdr:colOff>465839</xdr:colOff>
      <xdr:row>45</xdr:row>
      <xdr:rowOff>20463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689226C7-7F17-4A7E-9B6E-0F195C45DC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919134" y="6985000"/>
          <a:ext cx="1981372" cy="1620663"/>
        </a:xfrm>
        <a:prstGeom prst="rect">
          <a:avLst/>
        </a:prstGeom>
      </xdr:spPr>
    </xdr:pic>
    <xdr:clientData/>
  </xdr:twoCellAnchor>
  <xdr:twoCellAnchor>
    <xdr:from>
      <xdr:col>5</xdr:col>
      <xdr:colOff>830580</xdr:colOff>
      <xdr:row>43</xdr:row>
      <xdr:rowOff>68581</xdr:rowOff>
    </xdr:from>
    <xdr:to>
      <xdr:col>8</xdr:col>
      <xdr:colOff>361950</xdr:colOff>
      <xdr:row>43</xdr:row>
      <xdr:rowOff>91440</xdr:rowOff>
    </xdr:to>
    <xdr:cxnSp macro="">
      <xdr:nvCxnSpPr>
        <xdr:cNvPr id="60" name="Connettore 2 59">
          <a:extLst>
            <a:ext uri="{FF2B5EF4-FFF2-40B4-BE49-F238E27FC236}">
              <a16:creationId xmlns:a16="http://schemas.microsoft.com/office/drawing/2014/main" id="{76EFAFBA-2D8C-4590-994E-AC56EFE483E7}"/>
            </a:ext>
          </a:extLst>
        </xdr:cNvPr>
        <xdr:cNvCxnSpPr/>
      </xdr:nvCxnSpPr>
      <xdr:spPr>
        <a:xfrm>
          <a:off x="6858000" y="8176261"/>
          <a:ext cx="2495550" cy="22859"/>
        </a:xfrm>
        <a:prstGeom prst="straightConnector1">
          <a:avLst/>
        </a:prstGeom>
        <a:ln w="44450">
          <a:solidFill>
            <a:srgbClr val="7030A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830035</xdr:colOff>
      <xdr:row>42</xdr:row>
      <xdr:rowOff>52011</xdr:rowOff>
    </xdr:from>
    <xdr:to>
      <xdr:col>5</xdr:col>
      <xdr:colOff>831245</xdr:colOff>
      <xdr:row>43</xdr:row>
      <xdr:rowOff>74839</xdr:rowOff>
    </xdr:to>
    <xdr:cxnSp macro="">
      <xdr:nvCxnSpPr>
        <xdr:cNvPr id="62" name="Connettore diritto 61">
          <a:extLst>
            <a:ext uri="{FF2B5EF4-FFF2-40B4-BE49-F238E27FC236}">
              <a16:creationId xmlns:a16="http://schemas.microsoft.com/office/drawing/2014/main" id="{ACBC938C-F7C7-4A49-91A4-A67A2F0E8610}"/>
            </a:ext>
          </a:extLst>
        </xdr:cNvPr>
        <xdr:cNvCxnSpPr/>
      </xdr:nvCxnSpPr>
      <xdr:spPr>
        <a:xfrm flipV="1">
          <a:off x="6388553" y="8012190"/>
          <a:ext cx="1210" cy="213328"/>
        </a:xfrm>
        <a:prstGeom prst="line">
          <a:avLst/>
        </a:prstGeom>
        <a:ln w="44450">
          <a:solidFill>
            <a:srgbClr val="7030A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794809</xdr:colOff>
      <xdr:row>25</xdr:row>
      <xdr:rowOff>0</xdr:rowOff>
    </xdr:from>
    <xdr:to>
      <xdr:col>5</xdr:col>
      <xdr:colOff>731270</xdr:colOff>
      <xdr:row>31</xdr:row>
      <xdr:rowOff>163830</xdr:rowOff>
    </xdr:to>
    <xdr:pic>
      <xdr:nvPicPr>
        <xdr:cNvPr id="17" name="Immagine 16">
          <a:extLst>
            <a:ext uri="{FF2B5EF4-FFF2-40B4-BE49-F238E27FC236}">
              <a16:creationId xmlns:a16="http://schemas.microsoft.com/office/drawing/2014/main" id="{EFC4DCAF-449F-4E7B-89E1-02D2999F3F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01609" y="4792133"/>
          <a:ext cx="2222461" cy="133985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28</xdr:row>
      <xdr:rowOff>19050</xdr:rowOff>
    </xdr:from>
    <xdr:to>
      <xdr:col>4</xdr:col>
      <xdr:colOff>66675</xdr:colOff>
      <xdr:row>28</xdr:row>
      <xdr:rowOff>28575</xdr:rowOff>
    </xdr:to>
    <xdr:cxnSp macro="">
      <xdr:nvCxnSpPr>
        <xdr:cNvPr id="72" name="Connettore diritto 71">
          <a:extLst>
            <a:ext uri="{FF2B5EF4-FFF2-40B4-BE49-F238E27FC236}">
              <a16:creationId xmlns:a16="http://schemas.microsoft.com/office/drawing/2014/main" id="{E0FD97B5-32A5-4FC7-BE1D-0B8B0CD941C7}"/>
            </a:ext>
          </a:extLst>
        </xdr:cNvPr>
        <xdr:cNvCxnSpPr/>
      </xdr:nvCxnSpPr>
      <xdr:spPr>
        <a:xfrm flipH="1" flipV="1">
          <a:off x="3619500" y="5324475"/>
          <a:ext cx="942975" cy="9525"/>
        </a:xfrm>
        <a:prstGeom prst="line">
          <a:avLst/>
        </a:prstGeom>
        <a:ln w="44450">
          <a:solidFill>
            <a:srgbClr val="7030A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819150</xdr:colOff>
      <xdr:row>35</xdr:row>
      <xdr:rowOff>161925</xdr:rowOff>
    </xdr:from>
    <xdr:to>
      <xdr:col>5</xdr:col>
      <xdr:colOff>820420</xdr:colOff>
      <xdr:row>38</xdr:row>
      <xdr:rowOff>130177</xdr:rowOff>
    </xdr:to>
    <xdr:cxnSp macro="">
      <xdr:nvCxnSpPr>
        <xdr:cNvPr id="75" name="Connettore diritto 74">
          <a:extLst>
            <a:ext uri="{FF2B5EF4-FFF2-40B4-BE49-F238E27FC236}">
              <a16:creationId xmlns:a16="http://schemas.microsoft.com/office/drawing/2014/main" id="{309B11A0-9083-4FA2-BE4E-CA4935AB208A}"/>
            </a:ext>
          </a:extLst>
        </xdr:cNvPr>
        <xdr:cNvCxnSpPr/>
      </xdr:nvCxnSpPr>
      <xdr:spPr>
        <a:xfrm flipH="1" flipV="1">
          <a:off x="6372225" y="6800850"/>
          <a:ext cx="1270" cy="511177"/>
        </a:xfrm>
        <a:prstGeom prst="line">
          <a:avLst/>
        </a:prstGeom>
        <a:ln w="44450">
          <a:solidFill>
            <a:srgbClr val="7030A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781050</xdr:colOff>
      <xdr:row>28</xdr:row>
      <xdr:rowOff>57150</xdr:rowOff>
    </xdr:from>
    <xdr:to>
      <xdr:col>5</xdr:col>
      <xdr:colOff>820420</xdr:colOff>
      <xdr:row>35</xdr:row>
      <xdr:rowOff>177802</xdr:rowOff>
    </xdr:to>
    <xdr:cxnSp macro="">
      <xdr:nvCxnSpPr>
        <xdr:cNvPr id="77" name="Connettore diritto 76">
          <a:extLst>
            <a:ext uri="{FF2B5EF4-FFF2-40B4-BE49-F238E27FC236}">
              <a16:creationId xmlns:a16="http://schemas.microsoft.com/office/drawing/2014/main" id="{953682E3-E204-4BB3-BC56-237E3F17964A}"/>
            </a:ext>
          </a:extLst>
        </xdr:cNvPr>
        <xdr:cNvCxnSpPr/>
      </xdr:nvCxnSpPr>
      <xdr:spPr>
        <a:xfrm flipH="1" flipV="1">
          <a:off x="5276850" y="5362575"/>
          <a:ext cx="1096645" cy="1454152"/>
        </a:xfrm>
        <a:prstGeom prst="line">
          <a:avLst/>
        </a:prstGeom>
        <a:ln w="44450">
          <a:solidFill>
            <a:srgbClr val="7030A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5079</xdr:colOff>
      <xdr:row>51</xdr:row>
      <xdr:rowOff>123612</xdr:rowOff>
    </xdr:from>
    <xdr:to>
      <xdr:col>12</xdr:col>
      <xdr:colOff>351496</xdr:colOff>
      <xdr:row>57</xdr:row>
      <xdr:rowOff>103655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81D41E1C-A1DB-4771-8589-C141852FFE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93219" y="9572412"/>
          <a:ext cx="1222717" cy="1184003"/>
        </a:xfrm>
        <a:prstGeom prst="rect">
          <a:avLst/>
        </a:prstGeom>
      </xdr:spPr>
    </xdr:pic>
    <xdr:clientData/>
  </xdr:twoCellAnchor>
  <xdr:twoCellAnchor editAs="oneCell">
    <xdr:from>
      <xdr:col>5</xdr:col>
      <xdr:colOff>392289</xdr:colOff>
      <xdr:row>52</xdr:row>
      <xdr:rowOff>93135</xdr:rowOff>
    </xdr:from>
    <xdr:to>
      <xdr:col>6</xdr:col>
      <xdr:colOff>680799</xdr:colOff>
      <xdr:row>57</xdr:row>
      <xdr:rowOff>73116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96A473CE-3875-496A-A3B3-061ECF9A45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40289" y="7730068"/>
          <a:ext cx="1309590" cy="982192"/>
        </a:xfrm>
        <a:prstGeom prst="rect">
          <a:avLst/>
        </a:prstGeom>
      </xdr:spPr>
    </xdr:pic>
    <xdr:clientData/>
  </xdr:twoCellAnchor>
  <xdr:twoCellAnchor editAs="oneCell">
    <xdr:from>
      <xdr:col>4</xdr:col>
      <xdr:colOff>1466425</xdr:colOff>
      <xdr:row>23</xdr:row>
      <xdr:rowOff>30479</xdr:rowOff>
    </xdr:from>
    <xdr:to>
      <xdr:col>6</xdr:col>
      <xdr:colOff>341534</xdr:colOff>
      <xdr:row>29</xdr:row>
      <xdr:rowOff>38100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B64DB19D-C8F6-40CC-BAF7-43BF17380C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30605" y="4671059"/>
          <a:ext cx="1382089" cy="1196341"/>
        </a:xfrm>
        <a:prstGeom prst="rect">
          <a:avLst/>
        </a:prstGeom>
      </xdr:spPr>
    </xdr:pic>
    <xdr:clientData/>
  </xdr:twoCellAnchor>
  <xdr:twoCellAnchor editAs="oneCell">
    <xdr:from>
      <xdr:col>8</xdr:col>
      <xdr:colOff>67733</xdr:colOff>
      <xdr:row>24</xdr:row>
      <xdr:rowOff>55034</xdr:rowOff>
    </xdr:from>
    <xdr:to>
      <xdr:col>9</xdr:col>
      <xdr:colOff>982980</xdr:colOff>
      <xdr:row>29</xdr:row>
      <xdr:rowOff>30564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id="{0883E99C-DB53-4C02-8D67-D800A04D78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54533" y="4878494"/>
          <a:ext cx="2103967" cy="950890"/>
        </a:xfrm>
        <a:prstGeom prst="rect">
          <a:avLst/>
        </a:prstGeom>
      </xdr:spPr>
    </xdr:pic>
    <xdr:clientData/>
  </xdr:twoCellAnchor>
  <xdr:twoCellAnchor editAs="oneCell">
    <xdr:from>
      <xdr:col>8</xdr:col>
      <xdr:colOff>788246</xdr:colOff>
      <xdr:row>33</xdr:row>
      <xdr:rowOff>33020</xdr:rowOff>
    </xdr:from>
    <xdr:to>
      <xdr:col>10</xdr:col>
      <xdr:colOff>335280</xdr:colOff>
      <xdr:row>42</xdr:row>
      <xdr:rowOff>155808</xdr:rowOff>
    </xdr:to>
    <xdr:pic>
      <xdr:nvPicPr>
        <xdr:cNvPr id="15" name="Immagine 14">
          <a:extLst>
            <a:ext uri="{FF2B5EF4-FFF2-40B4-BE49-F238E27FC236}">
              <a16:creationId xmlns:a16="http://schemas.microsoft.com/office/drawing/2014/main" id="{A9093950-7CCD-4197-B077-BDB0CA135E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75046" y="6593840"/>
          <a:ext cx="1855894" cy="1806808"/>
        </a:xfrm>
        <a:prstGeom prst="rect">
          <a:avLst/>
        </a:prstGeom>
      </xdr:spPr>
    </xdr:pic>
    <xdr:clientData/>
  </xdr:twoCellAnchor>
  <xdr:twoCellAnchor editAs="oneCell">
    <xdr:from>
      <xdr:col>19</xdr:col>
      <xdr:colOff>41667</xdr:colOff>
      <xdr:row>24</xdr:row>
      <xdr:rowOff>45719</xdr:rowOff>
    </xdr:from>
    <xdr:to>
      <xdr:col>22</xdr:col>
      <xdr:colOff>209503</xdr:colOff>
      <xdr:row>28</xdr:row>
      <xdr:rowOff>166269</xdr:rowOff>
    </xdr:to>
    <xdr:pic>
      <xdr:nvPicPr>
        <xdr:cNvPr id="19" name="Immagine 18">
          <a:extLst>
            <a:ext uri="{FF2B5EF4-FFF2-40B4-BE49-F238E27FC236}">
              <a16:creationId xmlns:a16="http://schemas.microsoft.com/office/drawing/2014/main" id="{FC91F467-FF76-4CC2-9962-D6A809A154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50847" y="4762499"/>
          <a:ext cx="2263336" cy="890171"/>
        </a:xfrm>
        <a:prstGeom prst="rect">
          <a:avLst/>
        </a:prstGeom>
      </xdr:spPr>
    </xdr:pic>
    <xdr:clientData/>
  </xdr:twoCellAnchor>
  <xdr:twoCellAnchor>
    <xdr:from>
      <xdr:col>11</xdr:col>
      <xdr:colOff>868680</xdr:colOff>
      <xdr:row>54</xdr:row>
      <xdr:rowOff>182880</xdr:rowOff>
    </xdr:from>
    <xdr:to>
      <xdr:col>14</xdr:col>
      <xdr:colOff>0</xdr:colOff>
      <xdr:row>54</xdr:row>
      <xdr:rowOff>198120</xdr:rowOff>
    </xdr:to>
    <xdr:cxnSp macro="">
      <xdr:nvCxnSpPr>
        <xdr:cNvPr id="33" name="Connettore 2 32">
          <a:extLst>
            <a:ext uri="{FF2B5EF4-FFF2-40B4-BE49-F238E27FC236}">
              <a16:creationId xmlns:a16="http://schemas.microsoft.com/office/drawing/2014/main" id="{C595A1A7-FAF4-4C6D-BDDD-1130323D0E73}"/>
            </a:ext>
          </a:extLst>
        </xdr:cNvPr>
        <xdr:cNvCxnSpPr/>
      </xdr:nvCxnSpPr>
      <xdr:spPr>
        <a:xfrm flipH="1" flipV="1">
          <a:off x="12656820" y="10218420"/>
          <a:ext cx="2362200" cy="15240"/>
        </a:xfrm>
        <a:prstGeom prst="straightConnector1">
          <a:avLst/>
        </a:prstGeom>
        <a:ln w="44450">
          <a:solidFill>
            <a:srgbClr val="00B05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381000</xdr:colOff>
      <xdr:row>55</xdr:row>
      <xdr:rowOff>0</xdr:rowOff>
    </xdr:from>
    <xdr:to>
      <xdr:col>11</xdr:col>
      <xdr:colOff>350521</xdr:colOff>
      <xdr:row>55</xdr:row>
      <xdr:rowOff>7620</xdr:rowOff>
    </xdr:to>
    <xdr:cxnSp macro="">
      <xdr:nvCxnSpPr>
        <xdr:cNvPr id="34" name="Connettore 2 33">
          <a:extLst>
            <a:ext uri="{FF2B5EF4-FFF2-40B4-BE49-F238E27FC236}">
              <a16:creationId xmlns:a16="http://schemas.microsoft.com/office/drawing/2014/main" id="{7273ED2D-2786-4057-B8BD-A8EDC3332DDC}"/>
            </a:ext>
          </a:extLst>
        </xdr:cNvPr>
        <xdr:cNvCxnSpPr/>
      </xdr:nvCxnSpPr>
      <xdr:spPr>
        <a:xfrm flipH="1" flipV="1">
          <a:off x="6652260" y="10241280"/>
          <a:ext cx="5151121" cy="7620"/>
        </a:xfrm>
        <a:prstGeom prst="straightConnector1">
          <a:avLst/>
        </a:prstGeom>
        <a:ln w="44450">
          <a:solidFill>
            <a:srgbClr val="00B05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502920</xdr:colOff>
      <xdr:row>26</xdr:row>
      <xdr:rowOff>167640</xdr:rowOff>
    </xdr:from>
    <xdr:to>
      <xdr:col>5</xdr:col>
      <xdr:colOff>449580</xdr:colOff>
      <xdr:row>27</xdr:row>
      <xdr:rowOff>0</xdr:rowOff>
    </xdr:to>
    <xdr:cxnSp macro="">
      <xdr:nvCxnSpPr>
        <xdr:cNvPr id="35" name="Connettore 2 34">
          <a:extLst>
            <a:ext uri="{FF2B5EF4-FFF2-40B4-BE49-F238E27FC236}">
              <a16:creationId xmlns:a16="http://schemas.microsoft.com/office/drawing/2014/main" id="{C0D3F5B3-E411-4A9F-A085-DF40C50601B1}"/>
            </a:ext>
          </a:extLst>
        </xdr:cNvPr>
        <xdr:cNvCxnSpPr/>
      </xdr:nvCxnSpPr>
      <xdr:spPr>
        <a:xfrm flipV="1">
          <a:off x="502920" y="5257800"/>
          <a:ext cx="5196840" cy="15240"/>
        </a:xfrm>
        <a:prstGeom prst="straightConnector1">
          <a:avLst/>
        </a:prstGeom>
        <a:ln w="44450">
          <a:solidFill>
            <a:srgbClr val="00B05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487680</xdr:colOff>
      <xdr:row>55</xdr:row>
      <xdr:rowOff>15240</xdr:rowOff>
    </xdr:from>
    <xdr:to>
      <xdr:col>5</xdr:col>
      <xdr:colOff>838200</xdr:colOff>
      <xdr:row>55</xdr:row>
      <xdr:rowOff>30480</xdr:rowOff>
    </xdr:to>
    <xdr:cxnSp macro="">
      <xdr:nvCxnSpPr>
        <xdr:cNvPr id="37" name="Connettore diritto 36">
          <a:extLst>
            <a:ext uri="{FF2B5EF4-FFF2-40B4-BE49-F238E27FC236}">
              <a16:creationId xmlns:a16="http://schemas.microsoft.com/office/drawing/2014/main" id="{D22BF123-9BD1-47FA-90D5-AF7B976AF83B}"/>
            </a:ext>
          </a:extLst>
        </xdr:cNvPr>
        <xdr:cNvCxnSpPr/>
      </xdr:nvCxnSpPr>
      <xdr:spPr>
        <a:xfrm flipH="1" flipV="1">
          <a:off x="487680" y="10645140"/>
          <a:ext cx="5600700" cy="15240"/>
        </a:xfrm>
        <a:prstGeom prst="line">
          <a:avLst/>
        </a:prstGeom>
        <a:ln w="44450"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487681</xdr:colOff>
      <xdr:row>26</xdr:row>
      <xdr:rowOff>170180</xdr:rowOff>
    </xdr:from>
    <xdr:to>
      <xdr:col>0</xdr:col>
      <xdr:colOff>504613</xdr:colOff>
      <xdr:row>55</xdr:row>
      <xdr:rowOff>43180</xdr:rowOff>
    </xdr:to>
    <xdr:cxnSp macro="">
      <xdr:nvCxnSpPr>
        <xdr:cNvPr id="39" name="Connettore diritto 38">
          <a:extLst>
            <a:ext uri="{FF2B5EF4-FFF2-40B4-BE49-F238E27FC236}">
              <a16:creationId xmlns:a16="http://schemas.microsoft.com/office/drawing/2014/main" id="{5D3E47BC-7740-483D-BBC6-061411CF636D}"/>
            </a:ext>
          </a:extLst>
        </xdr:cNvPr>
        <xdr:cNvCxnSpPr/>
      </xdr:nvCxnSpPr>
      <xdr:spPr>
        <a:xfrm flipH="1">
          <a:off x="487681" y="5260340"/>
          <a:ext cx="16932" cy="5412740"/>
        </a:xfrm>
        <a:prstGeom prst="line">
          <a:avLst/>
        </a:prstGeom>
        <a:ln w="44450"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762000</xdr:colOff>
      <xdr:row>26</xdr:row>
      <xdr:rowOff>76200</xdr:rowOff>
    </xdr:from>
    <xdr:to>
      <xdr:col>8</xdr:col>
      <xdr:colOff>708660</xdr:colOff>
      <xdr:row>26</xdr:row>
      <xdr:rowOff>91440</xdr:rowOff>
    </xdr:to>
    <xdr:cxnSp macro="">
      <xdr:nvCxnSpPr>
        <xdr:cNvPr id="26" name="Connettore 2 25">
          <a:extLst>
            <a:ext uri="{FF2B5EF4-FFF2-40B4-BE49-F238E27FC236}">
              <a16:creationId xmlns:a16="http://schemas.microsoft.com/office/drawing/2014/main" id="{6143E43C-8F13-4850-A379-022272090BC5}"/>
            </a:ext>
          </a:extLst>
        </xdr:cNvPr>
        <xdr:cNvCxnSpPr/>
      </xdr:nvCxnSpPr>
      <xdr:spPr>
        <a:xfrm>
          <a:off x="6012180" y="5166360"/>
          <a:ext cx="3505200" cy="15240"/>
        </a:xfrm>
        <a:prstGeom prst="straightConnector1">
          <a:avLst/>
        </a:prstGeom>
        <a:ln w="44450">
          <a:solidFill>
            <a:srgbClr val="00B0F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20089</xdr:colOff>
      <xdr:row>27</xdr:row>
      <xdr:rowOff>47105</xdr:rowOff>
    </xdr:from>
    <xdr:to>
      <xdr:col>9</xdr:col>
      <xdr:colOff>27709</xdr:colOff>
      <xdr:row>34</xdr:row>
      <xdr:rowOff>31865</xdr:rowOff>
    </xdr:to>
    <xdr:cxnSp macro="">
      <xdr:nvCxnSpPr>
        <xdr:cNvPr id="28" name="Connettore 2 27">
          <a:extLst>
            <a:ext uri="{FF2B5EF4-FFF2-40B4-BE49-F238E27FC236}">
              <a16:creationId xmlns:a16="http://schemas.microsoft.com/office/drawing/2014/main" id="{4AE26B98-DD2C-4452-A94B-ABFB9462EB74}"/>
            </a:ext>
          </a:extLst>
        </xdr:cNvPr>
        <xdr:cNvCxnSpPr/>
      </xdr:nvCxnSpPr>
      <xdr:spPr>
        <a:xfrm>
          <a:off x="9690562" y="5388032"/>
          <a:ext cx="7620" cy="1356360"/>
        </a:xfrm>
        <a:prstGeom prst="straightConnector1">
          <a:avLst/>
        </a:prstGeom>
        <a:ln w="44450">
          <a:solidFill>
            <a:srgbClr val="00B0F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411480</xdr:colOff>
      <xdr:row>38</xdr:row>
      <xdr:rowOff>68580</xdr:rowOff>
    </xdr:from>
    <xdr:to>
      <xdr:col>7</xdr:col>
      <xdr:colOff>144780</xdr:colOff>
      <xdr:row>46</xdr:row>
      <xdr:rowOff>175218</xdr:rowOff>
    </xdr:to>
    <xdr:pic>
      <xdr:nvPicPr>
        <xdr:cNvPr id="14" name="Immagine 13">
          <a:extLst>
            <a:ext uri="{FF2B5EF4-FFF2-40B4-BE49-F238E27FC236}">
              <a16:creationId xmlns:a16="http://schemas.microsoft.com/office/drawing/2014/main" id="{36125489-05B6-4CD8-9E39-CF31B31FB7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81500" y="6332220"/>
          <a:ext cx="1813560" cy="1574033"/>
        </a:xfrm>
        <a:prstGeom prst="rect">
          <a:avLst/>
        </a:prstGeom>
      </xdr:spPr>
    </xdr:pic>
    <xdr:clientData/>
  </xdr:twoCellAnchor>
  <xdr:twoCellAnchor>
    <xdr:from>
      <xdr:col>6</xdr:col>
      <xdr:colOff>754380</xdr:colOff>
      <xdr:row>41</xdr:row>
      <xdr:rowOff>76200</xdr:rowOff>
    </xdr:from>
    <xdr:to>
      <xdr:col>9</xdr:col>
      <xdr:colOff>7620</xdr:colOff>
      <xdr:row>41</xdr:row>
      <xdr:rowOff>76200</xdr:rowOff>
    </xdr:to>
    <xdr:cxnSp macro="">
      <xdr:nvCxnSpPr>
        <xdr:cNvPr id="36" name="Connettore 2 35">
          <a:extLst>
            <a:ext uri="{FF2B5EF4-FFF2-40B4-BE49-F238E27FC236}">
              <a16:creationId xmlns:a16="http://schemas.microsoft.com/office/drawing/2014/main" id="{F8BA2192-D35C-446C-891B-CC54287473F5}"/>
            </a:ext>
          </a:extLst>
        </xdr:cNvPr>
        <xdr:cNvCxnSpPr/>
      </xdr:nvCxnSpPr>
      <xdr:spPr>
        <a:xfrm flipH="1">
          <a:off x="7025640" y="8061960"/>
          <a:ext cx="2644140" cy="0"/>
        </a:xfrm>
        <a:prstGeom prst="straightConnector1">
          <a:avLst/>
        </a:prstGeom>
        <a:ln w="44450">
          <a:solidFill>
            <a:srgbClr val="00B0F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446313</xdr:colOff>
      <xdr:row>43</xdr:row>
      <xdr:rowOff>109946</xdr:rowOff>
    </xdr:from>
    <xdr:to>
      <xdr:col>26</xdr:col>
      <xdr:colOff>134329</xdr:colOff>
      <xdr:row>49</xdr:row>
      <xdr:rowOff>17418</xdr:rowOff>
    </xdr:to>
    <xdr:pic>
      <xdr:nvPicPr>
        <xdr:cNvPr id="38" name="Immagine 37">
          <a:extLst>
            <a:ext uri="{FF2B5EF4-FFF2-40B4-BE49-F238E27FC236}">
              <a16:creationId xmlns:a16="http://schemas.microsoft.com/office/drawing/2014/main" id="{695A11C5-CBA2-468A-83E8-0D95FC7F67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55742" y="9253946"/>
          <a:ext cx="2058078" cy="1025434"/>
        </a:xfrm>
        <a:prstGeom prst="rect">
          <a:avLst/>
        </a:prstGeom>
      </xdr:spPr>
    </xdr:pic>
    <xdr:clientData/>
  </xdr:twoCellAnchor>
  <xdr:twoCellAnchor editAs="oneCell">
    <xdr:from>
      <xdr:col>14</xdr:col>
      <xdr:colOff>91440</xdr:colOff>
      <xdr:row>16</xdr:row>
      <xdr:rowOff>114300</xdr:rowOff>
    </xdr:from>
    <xdr:to>
      <xdr:col>15</xdr:col>
      <xdr:colOff>685939</xdr:colOff>
      <xdr:row>20</xdr:row>
      <xdr:rowOff>164446</xdr:rowOff>
    </xdr:to>
    <xdr:pic>
      <xdr:nvPicPr>
        <xdr:cNvPr id="41" name="Immagine 40">
          <a:extLst>
            <a:ext uri="{FF2B5EF4-FFF2-40B4-BE49-F238E27FC236}">
              <a16:creationId xmlns:a16="http://schemas.microsoft.com/office/drawing/2014/main" id="{1E4C57CF-EE92-4FF6-816C-E917CBA3A3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10460" y="3253740"/>
          <a:ext cx="1615579" cy="830651"/>
        </a:xfrm>
        <a:prstGeom prst="rect">
          <a:avLst/>
        </a:prstGeom>
      </xdr:spPr>
    </xdr:pic>
    <xdr:clientData/>
  </xdr:twoCellAnchor>
  <xdr:twoCellAnchor>
    <xdr:from>
      <xdr:col>9</xdr:col>
      <xdr:colOff>662940</xdr:colOff>
      <xdr:row>26</xdr:row>
      <xdr:rowOff>76200</xdr:rowOff>
    </xdr:from>
    <xdr:to>
      <xdr:col>12</xdr:col>
      <xdr:colOff>297180</xdr:colOff>
      <xdr:row>26</xdr:row>
      <xdr:rowOff>83821</xdr:rowOff>
    </xdr:to>
    <xdr:cxnSp macro="">
      <xdr:nvCxnSpPr>
        <xdr:cNvPr id="43" name="Connettore diritto 42">
          <a:extLst>
            <a:ext uri="{FF2B5EF4-FFF2-40B4-BE49-F238E27FC236}">
              <a16:creationId xmlns:a16="http://schemas.microsoft.com/office/drawing/2014/main" id="{AC4C7D9F-5E61-4E60-BD3D-B2D06B2E3DDF}"/>
            </a:ext>
          </a:extLst>
        </xdr:cNvPr>
        <xdr:cNvCxnSpPr/>
      </xdr:nvCxnSpPr>
      <xdr:spPr>
        <a:xfrm flipH="1">
          <a:off x="10500360" y="5128260"/>
          <a:ext cx="2339340" cy="7621"/>
        </a:xfrm>
        <a:prstGeom prst="line">
          <a:avLst/>
        </a:prstGeom>
        <a:ln w="444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281940</xdr:colOff>
      <xdr:row>14</xdr:row>
      <xdr:rowOff>0</xdr:rowOff>
    </xdr:from>
    <xdr:to>
      <xdr:col>12</xdr:col>
      <xdr:colOff>281940</xdr:colOff>
      <xdr:row>26</xdr:row>
      <xdr:rowOff>83821</xdr:rowOff>
    </xdr:to>
    <xdr:cxnSp macro="">
      <xdr:nvCxnSpPr>
        <xdr:cNvPr id="45" name="Connettore diritto 44">
          <a:extLst>
            <a:ext uri="{FF2B5EF4-FFF2-40B4-BE49-F238E27FC236}">
              <a16:creationId xmlns:a16="http://schemas.microsoft.com/office/drawing/2014/main" id="{F35BB0F3-F157-4A51-BF03-6C034CB3431F}"/>
            </a:ext>
          </a:extLst>
        </xdr:cNvPr>
        <xdr:cNvCxnSpPr/>
      </xdr:nvCxnSpPr>
      <xdr:spPr>
        <a:xfrm>
          <a:off x="12824460" y="2743200"/>
          <a:ext cx="0" cy="2392681"/>
        </a:xfrm>
        <a:prstGeom prst="line">
          <a:avLst/>
        </a:prstGeom>
        <a:ln w="444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274320</xdr:colOff>
      <xdr:row>14</xdr:row>
      <xdr:rowOff>7620</xdr:rowOff>
    </xdr:from>
    <xdr:to>
      <xdr:col>15</xdr:col>
      <xdr:colOff>373380</xdr:colOff>
      <xdr:row>14</xdr:row>
      <xdr:rowOff>22860</xdr:rowOff>
    </xdr:to>
    <xdr:cxnSp macro="">
      <xdr:nvCxnSpPr>
        <xdr:cNvPr id="48" name="Connettore diritto 47">
          <a:extLst>
            <a:ext uri="{FF2B5EF4-FFF2-40B4-BE49-F238E27FC236}">
              <a16:creationId xmlns:a16="http://schemas.microsoft.com/office/drawing/2014/main" id="{D5FA7DED-C9F1-4C47-B322-1D84E54DCA64}"/>
            </a:ext>
          </a:extLst>
        </xdr:cNvPr>
        <xdr:cNvCxnSpPr/>
      </xdr:nvCxnSpPr>
      <xdr:spPr>
        <a:xfrm flipH="1" flipV="1">
          <a:off x="12816840" y="2750820"/>
          <a:ext cx="3596640" cy="15240"/>
        </a:xfrm>
        <a:prstGeom prst="line">
          <a:avLst/>
        </a:prstGeom>
        <a:ln w="444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358140</xdr:colOff>
      <xdr:row>14</xdr:row>
      <xdr:rowOff>0</xdr:rowOff>
    </xdr:from>
    <xdr:to>
      <xdr:col>15</xdr:col>
      <xdr:colOff>358140</xdr:colOff>
      <xdr:row>18</xdr:row>
      <xdr:rowOff>48260</xdr:rowOff>
    </xdr:to>
    <xdr:cxnSp macro="">
      <xdr:nvCxnSpPr>
        <xdr:cNvPr id="50" name="Connettore 2 49">
          <a:extLst>
            <a:ext uri="{FF2B5EF4-FFF2-40B4-BE49-F238E27FC236}">
              <a16:creationId xmlns:a16="http://schemas.microsoft.com/office/drawing/2014/main" id="{957BD87A-D79A-4998-A978-F48ABDE4D77D}"/>
            </a:ext>
          </a:extLst>
        </xdr:cNvPr>
        <xdr:cNvCxnSpPr/>
      </xdr:nvCxnSpPr>
      <xdr:spPr>
        <a:xfrm>
          <a:off x="13731240" y="3413760"/>
          <a:ext cx="0" cy="787400"/>
        </a:xfrm>
        <a:prstGeom prst="straightConnector1">
          <a:avLst/>
        </a:prstGeom>
        <a:ln w="44450">
          <a:solidFill>
            <a:srgbClr val="00B0F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27940</xdr:colOff>
      <xdr:row>39</xdr:row>
      <xdr:rowOff>121920</xdr:rowOff>
    </xdr:from>
    <xdr:to>
      <xdr:col>9</xdr:col>
      <xdr:colOff>30480</xdr:colOff>
      <xdr:row>41</xdr:row>
      <xdr:rowOff>76200</xdr:rowOff>
    </xdr:to>
    <xdr:cxnSp macro="">
      <xdr:nvCxnSpPr>
        <xdr:cNvPr id="52" name="Connettore 2 51">
          <a:extLst>
            <a:ext uri="{FF2B5EF4-FFF2-40B4-BE49-F238E27FC236}">
              <a16:creationId xmlns:a16="http://schemas.microsoft.com/office/drawing/2014/main" id="{002DD28A-90BB-4198-9E12-61B4DDF97094}"/>
            </a:ext>
          </a:extLst>
        </xdr:cNvPr>
        <xdr:cNvCxnSpPr/>
      </xdr:nvCxnSpPr>
      <xdr:spPr>
        <a:xfrm>
          <a:off x="9690100" y="7734300"/>
          <a:ext cx="2540" cy="327660"/>
        </a:xfrm>
        <a:prstGeom prst="straightConnector1">
          <a:avLst/>
        </a:prstGeom>
        <a:ln w="44450">
          <a:solidFill>
            <a:srgbClr val="00B0F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180975</xdr:colOff>
      <xdr:row>41</xdr:row>
      <xdr:rowOff>83820</xdr:rowOff>
    </xdr:from>
    <xdr:to>
      <xdr:col>5</xdr:col>
      <xdr:colOff>699135</xdr:colOff>
      <xdr:row>41</xdr:row>
      <xdr:rowOff>88053</xdr:rowOff>
    </xdr:to>
    <xdr:cxnSp macro="">
      <xdr:nvCxnSpPr>
        <xdr:cNvPr id="56" name="Connettore diritto 55">
          <a:extLst>
            <a:ext uri="{FF2B5EF4-FFF2-40B4-BE49-F238E27FC236}">
              <a16:creationId xmlns:a16="http://schemas.microsoft.com/office/drawing/2014/main" id="{22F1F550-97EC-47FC-87CE-EEA0E9764502}"/>
            </a:ext>
          </a:extLst>
        </xdr:cNvPr>
        <xdr:cNvCxnSpPr/>
      </xdr:nvCxnSpPr>
      <xdr:spPr>
        <a:xfrm flipH="1" flipV="1">
          <a:off x="4150995" y="8153400"/>
          <a:ext cx="518160" cy="4233"/>
        </a:xfrm>
        <a:prstGeom prst="line">
          <a:avLst/>
        </a:prstGeom>
        <a:ln w="444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190500</xdr:colOff>
      <xdr:row>41</xdr:row>
      <xdr:rowOff>60960</xdr:rowOff>
    </xdr:from>
    <xdr:to>
      <xdr:col>5</xdr:col>
      <xdr:colOff>198120</xdr:colOff>
      <xdr:row>46</xdr:row>
      <xdr:rowOff>175260</xdr:rowOff>
    </xdr:to>
    <xdr:cxnSp macro="">
      <xdr:nvCxnSpPr>
        <xdr:cNvPr id="57" name="Connettore diritto 56">
          <a:extLst>
            <a:ext uri="{FF2B5EF4-FFF2-40B4-BE49-F238E27FC236}">
              <a16:creationId xmlns:a16="http://schemas.microsoft.com/office/drawing/2014/main" id="{3CA2DFB1-E4AB-489A-B842-16641EFB4DE0}"/>
            </a:ext>
          </a:extLst>
        </xdr:cNvPr>
        <xdr:cNvCxnSpPr/>
      </xdr:nvCxnSpPr>
      <xdr:spPr>
        <a:xfrm flipH="1">
          <a:off x="4160520" y="8130540"/>
          <a:ext cx="7620" cy="1028700"/>
        </a:xfrm>
        <a:prstGeom prst="line">
          <a:avLst/>
        </a:prstGeom>
        <a:ln w="444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175260</xdr:colOff>
      <xdr:row>46</xdr:row>
      <xdr:rowOff>160020</xdr:rowOff>
    </xdr:from>
    <xdr:to>
      <xdr:col>19</xdr:col>
      <xdr:colOff>83820</xdr:colOff>
      <xdr:row>46</xdr:row>
      <xdr:rowOff>160020</xdr:rowOff>
    </xdr:to>
    <xdr:cxnSp macro="">
      <xdr:nvCxnSpPr>
        <xdr:cNvPr id="59" name="Connettore diritto 58">
          <a:extLst>
            <a:ext uri="{FF2B5EF4-FFF2-40B4-BE49-F238E27FC236}">
              <a16:creationId xmlns:a16="http://schemas.microsoft.com/office/drawing/2014/main" id="{E913E662-74FD-4E74-B7E8-5865AA4FC23E}"/>
            </a:ext>
          </a:extLst>
        </xdr:cNvPr>
        <xdr:cNvCxnSpPr/>
      </xdr:nvCxnSpPr>
      <xdr:spPr>
        <a:xfrm>
          <a:off x="5425440" y="9037320"/>
          <a:ext cx="14432280" cy="0"/>
        </a:xfrm>
        <a:prstGeom prst="line">
          <a:avLst/>
        </a:prstGeom>
        <a:ln w="444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53340</xdr:colOff>
      <xdr:row>26</xdr:row>
      <xdr:rowOff>38100</xdr:rowOff>
    </xdr:from>
    <xdr:to>
      <xdr:col>19</xdr:col>
      <xdr:colOff>739140</xdr:colOff>
      <xdr:row>26</xdr:row>
      <xdr:rowOff>38100</xdr:rowOff>
    </xdr:to>
    <xdr:cxnSp macro="">
      <xdr:nvCxnSpPr>
        <xdr:cNvPr id="68" name="Connettore 2 67">
          <a:extLst>
            <a:ext uri="{FF2B5EF4-FFF2-40B4-BE49-F238E27FC236}">
              <a16:creationId xmlns:a16="http://schemas.microsoft.com/office/drawing/2014/main" id="{C351FCFE-7362-4155-B695-433025238937}"/>
            </a:ext>
          </a:extLst>
        </xdr:cNvPr>
        <xdr:cNvCxnSpPr/>
      </xdr:nvCxnSpPr>
      <xdr:spPr>
        <a:xfrm>
          <a:off x="19827240" y="5128260"/>
          <a:ext cx="685800" cy="0"/>
        </a:xfrm>
        <a:prstGeom prst="straightConnector1">
          <a:avLst/>
        </a:prstGeom>
        <a:ln w="444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578576</xdr:colOff>
      <xdr:row>26</xdr:row>
      <xdr:rowOff>30480</xdr:rowOff>
    </xdr:from>
    <xdr:to>
      <xdr:col>22</xdr:col>
      <xdr:colOff>510540</xdr:colOff>
      <xdr:row>26</xdr:row>
      <xdr:rowOff>34290</xdr:rowOff>
    </xdr:to>
    <xdr:cxnSp macro="">
      <xdr:nvCxnSpPr>
        <xdr:cNvPr id="69" name="Connettore diritto 68">
          <a:extLst>
            <a:ext uri="{FF2B5EF4-FFF2-40B4-BE49-F238E27FC236}">
              <a16:creationId xmlns:a16="http://schemas.microsoft.com/office/drawing/2014/main" id="{D3C4F43C-CE3A-42C9-987D-32C2A2A988FF}"/>
            </a:ext>
          </a:extLst>
        </xdr:cNvPr>
        <xdr:cNvCxnSpPr/>
      </xdr:nvCxnSpPr>
      <xdr:spPr>
        <a:xfrm flipH="1">
          <a:off x="22044116" y="5113020"/>
          <a:ext cx="671104" cy="3810"/>
        </a:xfrm>
        <a:prstGeom prst="line">
          <a:avLst/>
        </a:prstGeom>
        <a:ln w="444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511629</xdr:colOff>
      <xdr:row>12</xdr:row>
      <xdr:rowOff>7620</xdr:rowOff>
    </xdr:from>
    <xdr:to>
      <xdr:col>22</xdr:col>
      <xdr:colOff>511629</xdr:colOff>
      <xdr:row>26</xdr:row>
      <xdr:rowOff>38101</xdr:rowOff>
    </xdr:to>
    <xdr:cxnSp macro="">
      <xdr:nvCxnSpPr>
        <xdr:cNvPr id="70" name="Connettore diritto 69">
          <a:extLst>
            <a:ext uri="{FF2B5EF4-FFF2-40B4-BE49-F238E27FC236}">
              <a16:creationId xmlns:a16="http://schemas.microsoft.com/office/drawing/2014/main" id="{47678E3B-935C-4905-8597-7BFDBD575F0F}"/>
            </a:ext>
          </a:extLst>
        </xdr:cNvPr>
        <xdr:cNvCxnSpPr/>
      </xdr:nvCxnSpPr>
      <xdr:spPr>
        <a:xfrm flipV="1">
          <a:off x="20301858" y="3066506"/>
          <a:ext cx="0" cy="2773681"/>
        </a:xfrm>
        <a:prstGeom prst="line">
          <a:avLst/>
        </a:prstGeom>
        <a:ln w="444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754380</xdr:colOff>
      <xdr:row>12</xdr:row>
      <xdr:rowOff>22860</xdr:rowOff>
    </xdr:from>
    <xdr:to>
      <xdr:col>22</xdr:col>
      <xdr:colOff>511628</xdr:colOff>
      <xdr:row>12</xdr:row>
      <xdr:rowOff>32657</xdr:rowOff>
    </xdr:to>
    <xdr:cxnSp macro="">
      <xdr:nvCxnSpPr>
        <xdr:cNvPr id="73" name="Connettore diritto 72">
          <a:extLst>
            <a:ext uri="{FF2B5EF4-FFF2-40B4-BE49-F238E27FC236}">
              <a16:creationId xmlns:a16="http://schemas.microsoft.com/office/drawing/2014/main" id="{88636C1B-ABAC-4495-9051-B2A59B2B367E}"/>
            </a:ext>
          </a:extLst>
        </xdr:cNvPr>
        <xdr:cNvCxnSpPr/>
      </xdr:nvCxnSpPr>
      <xdr:spPr>
        <a:xfrm flipH="1" flipV="1">
          <a:off x="2855323" y="3081746"/>
          <a:ext cx="17446534" cy="9797"/>
        </a:xfrm>
        <a:prstGeom prst="line">
          <a:avLst/>
        </a:prstGeom>
        <a:ln w="444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762000</xdr:colOff>
      <xdr:row>12</xdr:row>
      <xdr:rowOff>38102</xdr:rowOff>
    </xdr:from>
    <xdr:to>
      <xdr:col>3</xdr:col>
      <xdr:colOff>777240</xdr:colOff>
      <xdr:row>26</xdr:row>
      <xdr:rowOff>22860</xdr:rowOff>
    </xdr:to>
    <xdr:cxnSp macro="">
      <xdr:nvCxnSpPr>
        <xdr:cNvPr id="77" name="Connettore diritto 76">
          <a:extLst>
            <a:ext uri="{FF2B5EF4-FFF2-40B4-BE49-F238E27FC236}">
              <a16:creationId xmlns:a16="http://schemas.microsoft.com/office/drawing/2014/main" id="{28AB10DD-E671-4684-B6A0-D3DFC1741275}"/>
            </a:ext>
          </a:extLst>
        </xdr:cNvPr>
        <xdr:cNvCxnSpPr/>
      </xdr:nvCxnSpPr>
      <xdr:spPr>
        <a:xfrm flipV="1">
          <a:off x="2865120" y="3025142"/>
          <a:ext cx="15240" cy="2613658"/>
        </a:xfrm>
        <a:prstGeom prst="line">
          <a:avLst/>
        </a:prstGeom>
        <a:ln w="444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762000</xdr:colOff>
      <xdr:row>26</xdr:row>
      <xdr:rowOff>0</xdr:rowOff>
    </xdr:from>
    <xdr:to>
      <xdr:col>5</xdr:col>
      <xdr:colOff>457200</xdr:colOff>
      <xdr:row>26</xdr:row>
      <xdr:rowOff>0</xdr:rowOff>
    </xdr:to>
    <xdr:cxnSp macro="">
      <xdr:nvCxnSpPr>
        <xdr:cNvPr id="79" name="Connettore 2 78">
          <a:extLst>
            <a:ext uri="{FF2B5EF4-FFF2-40B4-BE49-F238E27FC236}">
              <a16:creationId xmlns:a16="http://schemas.microsoft.com/office/drawing/2014/main" id="{9E20A7EA-67AD-4D9F-8735-28A332E416BC}"/>
            </a:ext>
          </a:extLst>
        </xdr:cNvPr>
        <xdr:cNvCxnSpPr/>
      </xdr:nvCxnSpPr>
      <xdr:spPr>
        <a:xfrm>
          <a:off x="2865120" y="5615940"/>
          <a:ext cx="1562100" cy="0"/>
        </a:xfrm>
        <a:prstGeom prst="straightConnector1">
          <a:avLst/>
        </a:prstGeom>
        <a:ln w="444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20</xdr:col>
      <xdr:colOff>7620</xdr:colOff>
      <xdr:row>30</xdr:row>
      <xdr:rowOff>149135</xdr:rowOff>
    </xdr:from>
    <xdr:to>
      <xdr:col>23</xdr:col>
      <xdr:colOff>190500</xdr:colOff>
      <xdr:row>41</xdr:row>
      <xdr:rowOff>33329</xdr:rowOff>
    </xdr:to>
    <xdr:pic>
      <xdr:nvPicPr>
        <xdr:cNvPr id="101" name="Immagine 100">
          <a:extLst>
            <a:ext uri="{FF2B5EF4-FFF2-40B4-BE49-F238E27FC236}">
              <a16:creationId xmlns:a16="http://schemas.microsoft.com/office/drawing/2014/main" id="{7A0D7B0E-B989-414D-B67C-C6C01C3302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48020" y="6734992"/>
          <a:ext cx="2142309" cy="1999288"/>
        </a:xfrm>
        <a:prstGeom prst="rect">
          <a:avLst/>
        </a:prstGeom>
      </xdr:spPr>
    </xdr:pic>
    <xdr:clientData/>
  </xdr:twoCellAnchor>
  <xdr:twoCellAnchor>
    <xdr:from>
      <xdr:col>20</xdr:col>
      <xdr:colOff>541020</xdr:colOff>
      <xdr:row>27</xdr:row>
      <xdr:rowOff>5443</xdr:rowOff>
    </xdr:from>
    <xdr:to>
      <xdr:col>20</xdr:col>
      <xdr:colOff>545646</xdr:colOff>
      <xdr:row>32</xdr:row>
      <xdr:rowOff>53340</xdr:rowOff>
    </xdr:to>
    <xdr:cxnSp macro="">
      <xdr:nvCxnSpPr>
        <xdr:cNvPr id="103" name="Connettore 2 102">
          <a:extLst>
            <a:ext uri="{FF2B5EF4-FFF2-40B4-BE49-F238E27FC236}">
              <a16:creationId xmlns:a16="http://schemas.microsoft.com/office/drawing/2014/main" id="{09555696-A08F-4FD5-9DD1-EE8FC13812D5}"/>
            </a:ext>
          </a:extLst>
        </xdr:cNvPr>
        <xdr:cNvCxnSpPr/>
      </xdr:nvCxnSpPr>
      <xdr:spPr>
        <a:xfrm flipH="1">
          <a:off x="20764500" y="5377543"/>
          <a:ext cx="4626" cy="1046117"/>
        </a:xfrm>
        <a:prstGeom prst="straightConnector1">
          <a:avLst/>
        </a:prstGeom>
        <a:ln w="444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525780</xdr:colOff>
      <xdr:row>38</xdr:row>
      <xdr:rowOff>129540</xdr:rowOff>
    </xdr:from>
    <xdr:to>
      <xdr:col>20</xdr:col>
      <xdr:colOff>525780</xdr:colOff>
      <xdr:row>43</xdr:row>
      <xdr:rowOff>91440</xdr:rowOff>
    </xdr:to>
    <xdr:cxnSp macro="">
      <xdr:nvCxnSpPr>
        <xdr:cNvPr id="109" name="Connettore diritto 108">
          <a:extLst>
            <a:ext uri="{FF2B5EF4-FFF2-40B4-BE49-F238E27FC236}">
              <a16:creationId xmlns:a16="http://schemas.microsoft.com/office/drawing/2014/main" id="{00554518-65EB-4D11-97E9-9EBEF77F59FF}"/>
            </a:ext>
          </a:extLst>
        </xdr:cNvPr>
        <xdr:cNvCxnSpPr/>
      </xdr:nvCxnSpPr>
      <xdr:spPr>
        <a:xfrm flipV="1">
          <a:off x="21084540" y="7559040"/>
          <a:ext cx="0" cy="883920"/>
        </a:xfrm>
        <a:prstGeom prst="line">
          <a:avLst/>
        </a:prstGeom>
        <a:ln w="444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512989</xdr:colOff>
      <xdr:row>43</xdr:row>
      <xdr:rowOff>83004</xdr:rowOff>
    </xdr:from>
    <xdr:to>
      <xdr:col>24</xdr:col>
      <xdr:colOff>760912</xdr:colOff>
      <xdr:row>43</xdr:row>
      <xdr:rowOff>92530</xdr:rowOff>
    </xdr:to>
    <xdr:cxnSp macro="">
      <xdr:nvCxnSpPr>
        <xdr:cNvPr id="111" name="Connettore diritto 110">
          <a:extLst>
            <a:ext uri="{FF2B5EF4-FFF2-40B4-BE49-F238E27FC236}">
              <a16:creationId xmlns:a16="http://schemas.microsoft.com/office/drawing/2014/main" id="{1832B4C2-23BC-48A9-A2BB-6F8F49DCE8C9}"/>
            </a:ext>
          </a:extLst>
        </xdr:cNvPr>
        <xdr:cNvCxnSpPr/>
      </xdr:nvCxnSpPr>
      <xdr:spPr>
        <a:xfrm flipH="1" flipV="1">
          <a:off x="18953389" y="9227004"/>
          <a:ext cx="2816952" cy="9526"/>
        </a:xfrm>
        <a:prstGeom prst="line">
          <a:avLst/>
        </a:prstGeom>
        <a:ln w="444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751114</xdr:colOff>
      <xdr:row>43</xdr:row>
      <xdr:rowOff>91441</xdr:rowOff>
    </xdr:from>
    <xdr:to>
      <xdr:col>24</xdr:col>
      <xdr:colOff>751114</xdr:colOff>
      <xdr:row>45</xdr:row>
      <xdr:rowOff>71847</xdr:rowOff>
    </xdr:to>
    <xdr:cxnSp macro="">
      <xdr:nvCxnSpPr>
        <xdr:cNvPr id="113" name="Connettore 2 112">
          <a:extLst>
            <a:ext uri="{FF2B5EF4-FFF2-40B4-BE49-F238E27FC236}">
              <a16:creationId xmlns:a16="http://schemas.microsoft.com/office/drawing/2014/main" id="{59995390-9C31-44E9-8F4C-2EC30A5062A3}"/>
            </a:ext>
          </a:extLst>
        </xdr:cNvPr>
        <xdr:cNvCxnSpPr/>
      </xdr:nvCxnSpPr>
      <xdr:spPr>
        <a:xfrm>
          <a:off x="21760543" y="9235441"/>
          <a:ext cx="0" cy="350520"/>
        </a:xfrm>
        <a:prstGeom prst="straightConnector1">
          <a:avLst/>
        </a:prstGeom>
        <a:ln w="444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71848</xdr:colOff>
      <xdr:row>26</xdr:row>
      <xdr:rowOff>44631</xdr:rowOff>
    </xdr:from>
    <xdr:to>
      <xdr:col>19</xdr:col>
      <xdr:colOff>72934</xdr:colOff>
      <xdr:row>46</xdr:row>
      <xdr:rowOff>161107</xdr:rowOff>
    </xdr:to>
    <xdr:cxnSp macro="">
      <xdr:nvCxnSpPr>
        <xdr:cNvPr id="55" name="Connettore diritto 54">
          <a:extLst>
            <a:ext uri="{FF2B5EF4-FFF2-40B4-BE49-F238E27FC236}">
              <a16:creationId xmlns:a16="http://schemas.microsoft.com/office/drawing/2014/main" id="{B163568B-F89F-4FD7-AA16-DB4F2EB6E7C6}"/>
            </a:ext>
          </a:extLst>
        </xdr:cNvPr>
        <xdr:cNvCxnSpPr/>
      </xdr:nvCxnSpPr>
      <xdr:spPr>
        <a:xfrm flipV="1">
          <a:off x="19845748" y="5134791"/>
          <a:ext cx="1086" cy="3903616"/>
        </a:xfrm>
        <a:prstGeom prst="line">
          <a:avLst/>
        </a:prstGeom>
        <a:ln w="444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38100</xdr:colOff>
      <xdr:row>22</xdr:row>
      <xdr:rowOff>99060</xdr:rowOff>
    </xdr:from>
    <xdr:to>
      <xdr:col>0</xdr:col>
      <xdr:colOff>502920</xdr:colOff>
      <xdr:row>22</xdr:row>
      <xdr:rowOff>99061</xdr:rowOff>
    </xdr:to>
    <xdr:cxnSp macro="">
      <xdr:nvCxnSpPr>
        <xdr:cNvPr id="86" name="Connettore diritto 85">
          <a:extLst>
            <a:ext uri="{FF2B5EF4-FFF2-40B4-BE49-F238E27FC236}">
              <a16:creationId xmlns:a16="http://schemas.microsoft.com/office/drawing/2014/main" id="{1D0F61E2-90A0-4BFC-BB05-0B2C266326E8}"/>
            </a:ext>
          </a:extLst>
        </xdr:cNvPr>
        <xdr:cNvCxnSpPr/>
      </xdr:nvCxnSpPr>
      <xdr:spPr>
        <a:xfrm flipH="1">
          <a:off x="38100" y="2583180"/>
          <a:ext cx="464820" cy="1"/>
        </a:xfrm>
        <a:prstGeom prst="line">
          <a:avLst/>
        </a:prstGeom>
        <a:ln w="444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22860</xdr:colOff>
      <xdr:row>23</xdr:row>
      <xdr:rowOff>106680</xdr:rowOff>
    </xdr:from>
    <xdr:to>
      <xdr:col>0</xdr:col>
      <xdr:colOff>487680</xdr:colOff>
      <xdr:row>23</xdr:row>
      <xdr:rowOff>106681</xdr:rowOff>
    </xdr:to>
    <xdr:cxnSp macro="">
      <xdr:nvCxnSpPr>
        <xdr:cNvPr id="88" name="Connettore diritto 87">
          <a:extLst>
            <a:ext uri="{FF2B5EF4-FFF2-40B4-BE49-F238E27FC236}">
              <a16:creationId xmlns:a16="http://schemas.microsoft.com/office/drawing/2014/main" id="{D54722AF-1562-4B0C-B236-1FCCD7F48739}"/>
            </a:ext>
          </a:extLst>
        </xdr:cNvPr>
        <xdr:cNvCxnSpPr/>
      </xdr:nvCxnSpPr>
      <xdr:spPr>
        <a:xfrm flipH="1">
          <a:off x="22860" y="2781300"/>
          <a:ext cx="464820" cy="1"/>
        </a:xfrm>
        <a:prstGeom prst="line">
          <a:avLst/>
        </a:prstGeom>
        <a:ln w="444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38100</xdr:colOff>
      <xdr:row>21</xdr:row>
      <xdr:rowOff>106680</xdr:rowOff>
    </xdr:from>
    <xdr:to>
      <xdr:col>0</xdr:col>
      <xdr:colOff>502920</xdr:colOff>
      <xdr:row>21</xdr:row>
      <xdr:rowOff>106681</xdr:rowOff>
    </xdr:to>
    <xdr:cxnSp macro="">
      <xdr:nvCxnSpPr>
        <xdr:cNvPr id="89" name="Connettore diritto 88">
          <a:extLst>
            <a:ext uri="{FF2B5EF4-FFF2-40B4-BE49-F238E27FC236}">
              <a16:creationId xmlns:a16="http://schemas.microsoft.com/office/drawing/2014/main" id="{EAE4B985-0EF7-4E81-B1FA-401EA2B17E5F}"/>
            </a:ext>
          </a:extLst>
        </xdr:cNvPr>
        <xdr:cNvCxnSpPr/>
      </xdr:nvCxnSpPr>
      <xdr:spPr>
        <a:xfrm flipH="1">
          <a:off x="38100" y="4112623"/>
          <a:ext cx="464820" cy="1"/>
        </a:xfrm>
        <a:prstGeom prst="line">
          <a:avLst/>
        </a:prstGeom>
        <a:ln w="44450"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2DA71-3207-4D97-8CED-C2578CC50516}">
  <dimension ref="A1:K26"/>
  <sheetViews>
    <sheetView zoomScale="80" zoomScaleNormal="80" workbookViewId="0">
      <selection activeCell="J12" sqref="J12"/>
    </sheetView>
  </sheetViews>
  <sheetFormatPr defaultRowHeight="14.4" x14ac:dyDescent="0.3"/>
  <cols>
    <col min="2" max="2" width="11.33203125" customWidth="1"/>
    <col min="3" max="3" width="11.5546875" customWidth="1"/>
    <col min="4" max="4" width="10.44140625" customWidth="1"/>
    <col min="6" max="6" width="10.77734375" customWidth="1"/>
    <col min="8" max="8" width="9" customWidth="1"/>
    <col min="9" max="9" width="23.88671875" customWidth="1"/>
    <col min="10" max="10" width="6.44140625" customWidth="1"/>
    <col min="12" max="12" width="11.109375" customWidth="1"/>
  </cols>
  <sheetData>
    <row r="1" spans="1:11" x14ac:dyDescent="0.3">
      <c r="A1" s="162" t="s">
        <v>27</v>
      </c>
      <c r="B1" s="162"/>
    </row>
    <row r="2" spans="1:11" x14ac:dyDescent="0.3">
      <c r="D2" s="45" t="s">
        <v>85</v>
      </c>
    </row>
    <row r="4" spans="1:11" ht="15.6" x14ac:dyDescent="0.35">
      <c r="A4" s="158" t="s">
        <v>0</v>
      </c>
      <c r="B4" s="158"/>
      <c r="C4" s="158"/>
      <c r="D4" s="38">
        <v>500</v>
      </c>
      <c r="E4" s="46" t="s">
        <v>1</v>
      </c>
      <c r="I4" s="9"/>
      <c r="J4" s="9"/>
      <c r="K4" s="11"/>
    </row>
    <row r="5" spans="1:11" ht="16.2" x14ac:dyDescent="0.3">
      <c r="A5" s="158" t="s">
        <v>104</v>
      </c>
      <c r="B5" s="158"/>
      <c r="C5" s="158"/>
      <c r="D5" s="38">
        <v>580</v>
      </c>
      <c r="E5" s="55" t="s">
        <v>2</v>
      </c>
      <c r="F5" s="85">
        <f>D5/J10</f>
        <v>503.88436400201107</v>
      </c>
      <c r="G5" s="56" t="s">
        <v>3</v>
      </c>
      <c r="I5" s="9"/>
      <c r="J5" s="9"/>
      <c r="K5" s="11"/>
    </row>
    <row r="6" spans="1:11" x14ac:dyDescent="0.3">
      <c r="I6" s="9"/>
      <c r="J6" s="9"/>
      <c r="K6" s="11"/>
    </row>
    <row r="7" spans="1:11" ht="15.6" x14ac:dyDescent="0.35">
      <c r="A7" s="158" t="s">
        <v>103</v>
      </c>
      <c r="B7" s="158"/>
      <c r="C7" s="158"/>
      <c r="D7" s="38">
        <v>1</v>
      </c>
      <c r="E7" s="47" t="s">
        <v>94</v>
      </c>
      <c r="I7" s="35" t="s">
        <v>7</v>
      </c>
      <c r="J7" s="41">
        <v>44</v>
      </c>
      <c r="K7" s="52" t="s">
        <v>8</v>
      </c>
    </row>
    <row r="8" spans="1:11" x14ac:dyDescent="0.3">
      <c r="A8" s="158" t="s">
        <v>5</v>
      </c>
      <c r="B8" s="158"/>
      <c r="C8" s="158"/>
      <c r="D8" s="38">
        <v>40</v>
      </c>
      <c r="E8" s="47" t="s">
        <v>6</v>
      </c>
      <c r="I8" s="42" t="s">
        <v>122</v>
      </c>
      <c r="J8" s="11">
        <f>D10*44+D11*28+D13*18+D12*32</f>
        <v>29.580000000000002</v>
      </c>
      <c r="K8" s="53" t="s">
        <v>8</v>
      </c>
    </row>
    <row r="9" spans="1:11" ht="16.2" customHeight="1" x14ac:dyDescent="0.35">
      <c r="A9" s="158" t="s">
        <v>4</v>
      </c>
      <c r="B9" s="158"/>
      <c r="C9" s="158"/>
      <c r="D9" s="48">
        <f>D10*100</f>
        <v>13</v>
      </c>
      <c r="E9" s="79" t="s">
        <v>123</v>
      </c>
      <c r="I9" s="42" t="s">
        <v>9</v>
      </c>
      <c r="J9" s="51">
        <f>J8*10^-3/(0.022414)</f>
        <v>1.3197108949763541</v>
      </c>
      <c r="K9" s="53" t="s">
        <v>10</v>
      </c>
    </row>
    <row r="10" spans="1:11" ht="16.8" x14ac:dyDescent="0.35">
      <c r="A10" s="158" t="s">
        <v>28</v>
      </c>
      <c r="B10" s="158"/>
      <c r="C10" s="158"/>
      <c r="D10" s="38">
        <v>0.13</v>
      </c>
      <c r="E10" s="11"/>
      <c r="I10" s="42" t="s">
        <v>11</v>
      </c>
      <c r="J10" s="51">
        <f>J9*273/(273+D8)</f>
        <v>1.1510577454586091</v>
      </c>
      <c r="K10" s="53" t="s">
        <v>10</v>
      </c>
    </row>
    <row r="11" spans="1:11" ht="16.8" x14ac:dyDescent="0.35">
      <c r="A11" s="158" t="s">
        <v>29</v>
      </c>
      <c r="B11" s="158"/>
      <c r="C11" s="158"/>
      <c r="D11" s="38">
        <v>0.75</v>
      </c>
      <c r="I11" s="42" t="s">
        <v>12</v>
      </c>
      <c r="J11" s="51">
        <f>J7*10^-3/0.022414*273/(273+D8)</f>
        <v>1.7121886680249765</v>
      </c>
      <c r="K11" s="53" t="s">
        <v>10</v>
      </c>
    </row>
    <row r="12" spans="1:11" ht="15.6" x14ac:dyDescent="0.35">
      <c r="A12" s="158" t="s">
        <v>30</v>
      </c>
      <c r="B12" s="158"/>
      <c r="C12" s="158"/>
      <c r="D12" s="38">
        <v>0.05</v>
      </c>
      <c r="I12" s="125" t="s">
        <v>130</v>
      </c>
      <c r="J12" s="43">
        <v>1100</v>
      </c>
      <c r="K12" s="126" t="s">
        <v>131</v>
      </c>
    </row>
    <row r="13" spans="1:11" ht="15.6" x14ac:dyDescent="0.35">
      <c r="A13" s="158" t="s">
        <v>31</v>
      </c>
      <c r="B13" s="158"/>
      <c r="C13" s="158"/>
      <c r="D13" s="38">
        <v>7.0000000000000007E-2</v>
      </c>
      <c r="I13" s="11"/>
      <c r="J13" s="11"/>
      <c r="K13" s="124"/>
    </row>
    <row r="14" spans="1:11" x14ac:dyDescent="0.3">
      <c r="D14" s="57">
        <f>D10+D11+D12+D13</f>
        <v>1</v>
      </c>
    </row>
    <row r="15" spans="1:11" ht="15.6" x14ac:dyDescent="0.35">
      <c r="A15" s="78" t="s">
        <v>91</v>
      </c>
    </row>
    <row r="16" spans="1:11" ht="15.6" x14ac:dyDescent="0.35">
      <c r="A16" s="158" t="s">
        <v>105</v>
      </c>
      <c r="B16" s="158"/>
      <c r="C16" s="158"/>
      <c r="D16" s="38">
        <v>150</v>
      </c>
      <c r="E16" s="47" t="s">
        <v>94</v>
      </c>
      <c r="G16" s="9"/>
      <c r="H16" s="9"/>
      <c r="I16" s="13"/>
      <c r="J16" s="49"/>
    </row>
    <row r="17" spans="1:10" ht="15.6" x14ac:dyDescent="0.35">
      <c r="A17" s="158" t="s">
        <v>106</v>
      </c>
      <c r="B17" s="158"/>
      <c r="C17" s="158"/>
      <c r="D17" s="83">
        <v>40</v>
      </c>
      <c r="E17" s="47" t="s">
        <v>6</v>
      </c>
      <c r="G17" s="9"/>
      <c r="H17" s="9"/>
      <c r="I17" s="13"/>
      <c r="J17" s="49"/>
    </row>
    <row r="19" spans="1:10" ht="15.6" x14ac:dyDescent="0.35">
      <c r="A19" s="159" t="s">
        <v>73</v>
      </c>
      <c r="B19" s="160"/>
      <c r="C19" s="161"/>
      <c r="D19" s="66">
        <v>0.92</v>
      </c>
    </row>
    <row r="21" spans="1:10" x14ac:dyDescent="0.3">
      <c r="A21" s="158" t="s">
        <v>116</v>
      </c>
      <c r="B21" s="158"/>
      <c r="C21" s="158"/>
      <c r="D21" s="48">
        <v>1</v>
      </c>
      <c r="E21" s="94" t="s">
        <v>94</v>
      </c>
    </row>
    <row r="22" spans="1:10" x14ac:dyDescent="0.3">
      <c r="A22" s="157" t="s">
        <v>126</v>
      </c>
      <c r="B22" s="157"/>
      <c r="C22" s="157"/>
      <c r="D22" s="58">
        <v>25</v>
      </c>
      <c r="E22" s="46" t="s">
        <v>6</v>
      </c>
    </row>
    <row r="23" spans="1:10" x14ac:dyDescent="0.3">
      <c r="A23" s="157" t="s">
        <v>107</v>
      </c>
      <c r="B23" s="157"/>
      <c r="C23" s="157"/>
      <c r="D23" s="58">
        <v>10</v>
      </c>
      <c r="E23" s="46" t="s">
        <v>6</v>
      </c>
    </row>
    <row r="24" spans="1:10" x14ac:dyDescent="0.3">
      <c r="A24" s="157" t="s">
        <v>127</v>
      </c>
      <c r="B24" s="157"/>
      <c r="C24" s="157"/>
      <c r="D24" s="39">
        <f>D22+D23</f>
        <v>35</v>
      </c>
      <c r="E24" s="46" t="s">
        <v>6</v>
      </c>
    </row>
    <row r="26" spans="1:10" x14ac:dyDescent="0.3">
      <c r="A26" s="9"/>
      <c r="B26" s="9"/>
      <c r="E26" s="49"/>
    </row>
  </sheetData>
  <mergeCells count="17">
    <mergeCell ref="A8:C8"/>
    <mergeCell ref="A10:C10"/>
    <mergeCell ref="A7:C7"/>
    <mergeCell ref="A16:C16"/>
    <mergeCell ref="A1:B1"/>
    <mergeCell ref="A11:C11"/>
    <mergeCell ref="A12:C12"/>
    <mergeCell ref="A13:C13"/>
    <mergeCell ref="A4:C4"/>
    <mergeCell ref="A5:C5"/>
    <mergeCell ref="A23:C23"/>
    <mergeCell ref="A21:C21"/>
    <mergeCell ref="A22:C22"/>
    <mergeCell ref="A24:C24"/>
    <mergeCell ref="A9:C9"/>
    <mergeCell ref="A19:C19"/>
    <mergeCell ref="A17:C17"/>
  </mergeCells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C93CBF-CA4B-4345-A3AB-2B833D556364}">
  <dimension ref="A1:AL95"/>
  <sheetViews>
    <sheetView topLeftCell="N28" zoomScale="80" zoomScaleNormal="80" workbookViewId="0">
      <selection activeCell="AF27" sqref="AF27"/>
    </sheetView>
  </sheetViews>
  <sheetFormatPr defaultRowHeight="14.4" x14ac:dyDescent="0.3"/>
  <cols>
    <col min="1" max="1" width="18.44140625" customWidth="1"/>
    <col min="2" max="2" width="12.5546875" customWidth="1"/>
    <col min="3" max="4" width="13.88671875" customWidth="1"/>
    <col min="5" max="6" width="14.77734375" customWidth="1"/>
    <col min="7" max="7" width="14.5546875" customWidth="1"/>
    <col min="8" max="8" width="15.33203125" customWidth="1"/>
    <col min="9" max="9" width="13.21875" customWidth="1"/>
    <col min="10" max="10" width="15.21875" customWidth="1"/>
    <col min="11" max="11" width="10.109375" customWidth="1"/>
    <col min="12" max="12" width="15.88671875" customWidth="1"/>
    <col min="13" max="13" width="20.33203125" customWidth="1"/>
    <col min="14" max="14" width="14.77734375" customWidth="1"/>
    <col min="15" max="15" width="19" customWidth="1"/>
    <col min="16" max="16" width="20.109375" customWidth="1"/>
    <col min="17" max="17" width="20.21875" customWidth="1"/>
    <col min="18" max="18" width="20.33203125" customWidth="1"/>
    <col min="19" max="19" width="15.5546875" customWidth="1"/>
    <col min="20" max="20" width="15.44140625" customWidth="1"/>
    <col min="21" max="21" width="14.5546875" customWidth="1"/>
    <col min="22" max="22" width="15.21875" customWidth="1"/>
    <col min="23" max="23" width="15.44140625" customWidth="1"/>
    <col min="24" max="24" width="14.33203125" customWidth="1"/>
    <col min="25" max="25" width="13.5546875" customWidth="1"/>
    <col min="26" max="26" width="14.5546875" customWidth="1"/>
    <col min="27" max="27" width="13.6640625" customWidth="1"/>
    <col min="28" max="28" width="14.21875" customWidth="1"/>
    <col min="29" max="29" width="13" customWidth="1"/>
    <col min="30" max="30" width="16" customWidth="1"/>
    <col min="31" max="31" width="14.21875" customWidth="1"/>
    <col min="32" max="32" width="13.5546875" customWidth="1"/>
    <col min="33" max="33" width="15.6640625" customWidth="1"/>
    <col min="34" max="34" width="14" customWidth="1"/>
    <col min="35" max="35" width="15.109375" customWidth="1"/>
    <col min="36" max="36" width="13.5546875" customWidth="1"/>
    <col min="37" max="37" width="15.44140625" customWidth="1"/>
    <col min="38" max="38" width="13.5546875" customWidth="1"/>
    <col min="39" max="39" width="14.44140625" customWidth="1"/>
    <col min="40" max="40" width="13.33203125" customWidth="1"/>
    <col min="41" max="41" width="12.77734375" customWidth="1"/>
  </cols>
  <sheetData>
    <row r="1" spans="1:28" x14ac:dyDescent="0.3">
      <c r="A1" s="98" t="s">
        <v>84</v>
      </c>
    </row>
    <row r="2" spans="1:28" ht="15" thickBot="1" x14ac:dyDescent="0.35"/>
    <row r="3" spans="1:28" ht="16.2" thickBot="1" x14ac:dyDescent="0.4">
      <c r="A3" s="187" t="s">
        <v>65</v>
      </c>
      <c r="B3" s="188"/>
      <c r="C3" s="189"/>
      <c r="E3" s="190" t="s">
        <v>70</v>
      </c>
      <c r="F3" s="191"/>
      <c r="G3" s="192"/>
      <c r="I3" s="193" t="s">
        <v>71</v>
      </c>
      <c r="J3" s="193"/>
      <c r="K3" s="193"/>
      <c r="N3" s="44" t="s">
        <v>13</v>
      </c>
      <c r="O3" s="11"/>
      <c r="P3" s="11"/>
      <c r="Q3" s="11"/>
      <c r="R3" s="11"/>
      <c r="S3" s="11"/>
      <c r="T3" s="11"/>
      <c r="U3" s="11"/>
    </row>
    <row r="4" spans="1:28" ht="16.2" thickBot="1" x14ac:dyDescent="0.4">
      <c r="A4" s="175">
        <f>0.9</f>
        <v>0.9</v>
      </c>
      <c r="B4" s="176"/>
      <c r="C4" s="177"/>
      <c r="E4" s="168" t="s">
        <v>124</v>
      </c>
      <c r="F4" s="169"/>
      <c r="G4" s="170"/>
      <c r="I4" s="187" t="s">
        <v>49</v>
      </c>
      <c r="J4" s="188"/>
      <c r="K4" s="189"/>
      <c r="N4" s="42" t="s">
        <v>14</v>
      </c>
      <c r="O4" s="188" t="s">
        <v>76</v>
      </c>
      <c r="P4" s="188"/>
      <c r="Q4" s="188"/>
      <c r="R4" s="188"/>
      <c r="S4" s="188"/>
      <c r="T4" s="188"/>
      <c r="U4" s="189"/>
      <c r="Y4" s="2" t="s">
        <v>41</v>
      </c>
      <c r="Z4" s="2" t="s">
        <v>60</v>
      </c>
      <c r="AA4" s="2" t="s">
        <v>55</v>
      </c>
      <c r="AB4" s="2" t="s">
        <v>45</v>
      </c>
    </row>
    <row r="5" spans="1:28" ht="15.6" x14ac:dyDescent="0.35">
      <c r="E5" s="168">
        <v>2.7</v>
      </c>
      <c r="F5" s="169"/>
      <c r="G5" s="170"/>
      <c r="I5" s="168">
        <v>4186</v>
      </c>
      <c r="J5" s="169"/>
      <c r="K5" s="170"/>
      <c r="N5" s="34"/>
      <c r="O5" s="176" t="s">
        <v>15</v>
      </c>
      <c r="P5" s="176"/>
      <c r="Q5" s="176"/>
      <c r="R5" s="176"/>
      <c r="S5" s="176"/>
      <c r="T5" s="176"/>
      <c r="U5" s="177"/>
      <c r="W5" s="6" t="s">
        <v>83</v>
      </c>
      <c r="X5" s="7" t="s">
        <v>37</v>
      </c>
      <c r="Y5" s="106">
        <f>I52</f>
        <v>100.94117647058823</v>
      </c>
      <c r="Z5" s="102">
        <f>AD27</f>
        <v>313</v>
      </c>
      <c r="AA5" s="7">
        <f>AE26</f>
        <v>2</v>
      </c>
      <c r="AB5" s="8"/>
    </row>
    <row r="6" spans="1:28" ht="16.2" thickBot="1" x14ac:dyDescent="0.4">
      <c r="A6" s="187" t="s">
        <v>66</v>
      </c>
      <c r="B6" s="188"/>
      <c r="C6" s="189"/>
      <c r="E6" s="168" t="s">
        <v>25</v>
      </c>
      <c r="F6" s="169"/>
      <c r="G6" s="170"/>
      <c r="I6" s="172" t="s">
        <v>43</v>
      </c>
      <c r="J6" s="173"/>
      <c r="K6" s="174"/>
      <c r="N6" s="35" t="s">
        <v>16</v>
      </c>
      <c r="O6" s="188" t="s">
        <v>17</v>
      </c>
      <c r="P6" s="188"/>
      <c r="Q6" s="188"/>
      <c r="R6" s="188"/>
      <c r="S6" s="188"/>
      <c r="T6" s="188"/>
      <c r="U6" s="189"/>
      <c r="W6" s="3"/>
      <c r="X6" s="4" t="s">
        <v>38</v>
      </c>
      <c r="Y6" s="4"/>
      <c r="Z6" s="4"/>
      <c r="AA6" s="103">
        <f>'Dati impianto INPUT'!D16</f>
        <v>150</v>
      </c>
      <c r="AB6" s="107">
        <f>Y5*I13*Z5*(A11^((I15-1)/I15)-1)*10^-6</f>
        <v>47.521558317957286</v>
      </c>
    </row>
    <row r="7" spans="1:28" x14ac:dyDescent="0.3">
      <c r="A7" s="168">
        <v>4.5</v>
      </c>
      <c r="B7" s="169"/>
      <c r="C7" s="170"/>
      <c r="E7" s="168">
        <f>1.5</f>
        <v>1.5</v>
      </c>
      <c r="F7" s="169"/>
      <c r="G7" s="170"/>
      <c r="I7" s="180">
        <f>'Dati impianto INPUT'!D22</f>
        <v>25</v>
      </c>
      <c r="J7" s="180"/>
      <c r="K7" s="180"/>
      <c r="N7" s="34"/>
      <c r="O7" s="176" t="s">
        <v>18</v>
      </c>
      <c r="P7" s="176"/>
      <c r="Q7" s="176"/>
      <c r="R7" s="176"/>
      <c r="S7" s="176"/>
      <c r="T7" s="176"/>
      <c r="U7" s="177"/>
    </row>
    <row r="8" spans="1:28" ht="15.6" x14ac:dyDescent="0.35">
      <c r="A8" s="181" t="s">
        <v>73</v>
      </c>
      <c r="B8" s="182"/>
      <c r="C8" s="183"/>
      <c r="D8" s="80"/>
      <c r="E8" s="168" t="s">
        <v>26</v>
      </c>
      <c r="F8" s="169"/>
      <c r="G8" s="170"/>
      <c r="I8" s="172" t="s">
        <v>32</v>
      </c>
      <c r="J8" s="173"/>
      <c r="K8" s="174"/>
      <c r="N8" s="35" t="s">
        <v>19</v>
      </c>
      <c r="O8" s="188" t="s">
        <v>20</v>
      </c>
      <c r="P8" s="188"/>
      <c r="Q8" s="188"/>
      <c r="R8" s="188"/>
      <c r="S8" s="188"/>
      <c r="T8" s="188"/>
      <c r="U8" s="189"/>
    </row>
    <row r="9" spans="1:28" x14ac:dyDescent="0.3">
      <c r="A9" s="180">
        <v>0.92</v>
      </c>
      <c r="B9" s="180"/>
      <c r="C9" s="180"/>
      <c r="D9" s="80"/>
      <c r="E9" s="168">
        <f>0.665</f>
        <v>0.66500000000000004</v>
      </c>
      <c r="F9" s="169"/>
      <c r="G9" s="170"/>
      <c r="I9" s="180">
        <f>'Dati impianto INPUT'!D23</f>
        <v>10</v>
      </c>
      <c r="J9" s="180"/>
      <c r="K9" s="180"/>
      <c r="N9" s="34"/>
      <c r="O9" s="176" t="s">
        <v>21</v>
      </c>
      <c r="P9" s="176"/>
      <c r="Q9" s="176"/>
      <c r="R9" s="176"/>
      <c r="S9" s="176"/>
      <c r="T9" s="176"/>
      <c r="U9" s="177"/>
    </row>
    <row r="10" spans="1:28" x14ac:dyDescent="0.3">
      <c r="A10" s="172" t="s">
        <v>79</v>
      </c>
      <c r="B10" s="173"/>
      <c r="C10" s="174"/>
      <c r="E10" s="168" t="s">
        <v>137</v>
      </c>
      <c r="F10" s="169"/>
      <c r="G10" s="170"/>
      <c r="H10" s="9"/>
      <c r="I10" s="9"/>
      <c r="N10" s="35" t="s">
        <v>22</v>
      </c>
      <c r="O10" s="188" t="s">
        <v>23</v>
      </c>
      <c r="P10" s="188"/>
      <c r="Q10" s="188"/>
      <c r="R10" s="188"/>
      <c r="S10" s="188"/>
      <c r="T10" s="188"/>
      <c r="U10" s="189"/>
    </row>
    <row r="11" spans="1:28" ht="15.6" x14ac:dyDescent="0.35">
      <c r="A11" s="175">
        <f>'Dati impianto INPUT'!D16/2</f>
        <v>75</v>
      </c>
      <c r="B11" s="176"/>
      <c r="C11" s="177"/>
      <c r="D11" s="80"/>
      <c r="E11" s="168">
        <f>3941.6</f>
        <v>3941.6</v>
      </c>
      <c r="F11" s="169"/>
      <c r="G11" s="170"/>
      <c r="H11" s="9"/>
      <c r="I11" s="184" t="s">
        <v>78</v>
      </c>
      <c r="J11" s="185"/>
      <c r="K11" s="186"/>
      <c r="N11" s="34"/>
      <c r="O11" s="176" t="s">
        <v>24</v>
      </c>
      <c r="P11" s="176"/>
      <c r="Q11" s="176"/>
      <c r="R11" s="176"/>
      <c r="S11" s="176"/>
      <c r="T11" s="176"/>
      <c r="U11" s="177"/>
    </row>
    <row r="12" spans="1:28" ht="15.6" x14ac:dyDescent="0.35">
      <c r="D12" s="80"/>
      <c r="E12" s="168" t="s">
        <v>68</v>
      </c>
      <c r="F12" s="169"/>
      <c r="G12" s="170"/>
      <c r="I12" s="168" t="s">
        <v>81</v>
      </c>
      <c r="J12" s="169"/>
      <c r="K12" s="170"/>
    </row>
    <row r="13" spans="1:28" x14ac:dyDescent="0.3">
      <c r="D13" s="82"/>
      <c r="E13" s="175">
        <f>1.07/1000*1000*1000</f>
        <v>1070</v>
      </c>
      <c r="F13" s="176"/>
      <c r="G13" s="177"/>
      <c r="I13" s="168">
        <v>846</v>
      </c>
      <c r="J13" s="169"/>
      <c r="K13" s="170"/>
    </row>
    <row r="14" spans="1:28" x14ac:dyDescent="0.3">
      <c r="D14" s="82"/>
      <c r="I14" s="172" t="s">
        <v>80</v>
      </c>
      <c r="J14" s="173"/>
      <c r="K14" s="174"/>
    </row>
    <row r="15" spans="1:28" x14ac:dyDescent="0.3">
      <c r="D15" s="81"/>
      <c r="I15" s="175">
        <v>1.31</v>
      </c>
      <c r="J15" s="176"/>
      <c r="K15" s="177"/>
    </row>
    <row r="16" spans="1:28" x14ac:dyDescent="0.3">
      <c r="D16" s="80"/>
    </row>
    <row r="25" spans="1:32" ht="15" thickBot="1" x14ac:dyDescent="0.35">
      <c r="D25" s="2" t="s">
        <v>41</v>
      </c>
      <c r="E25" s="2" t="s">
        <v>60</v>
      </c>
      <c r="F25" s="2" t="s">
        <v>55</v>
      </c>
      <c r="G25" s="2" t="s">
        <v>45</v>
      </c>
      <c r="AC25" s="2" t="s">
        <v>41</v>
      </c>
      <c r="AD25" s="2" t="s">
        <v>60</v>
      </c>
      <c r="AE25" s="2" t="s">
        <v>55</v>
      </c>
      <c r="AF25" s="2" t="s">
        <v>45</v>
      </c>
    </row>
    <row r="26" spans="1:32" x14ac:dyDescent="0.3">
      <c r="A26" s="178" t="s">
        <v>133</v>
      </c>
      <c r="B26" s="179"/>
      <c r="C26" s="59" t="s">
        <v>37</v>
      </c>
      <c r="D26" s="97">
        <f>C30</f>
        <v>580</v>
      </c>
      <c r="E26" s="102">
        <f>'Dati impianto INPUT'!D8+273</f>
        <v>313</v>
      </c>
      <c r="F26" s="102">
        <f>'Dati impianto INPUT'!D7</f>
        <v>1</v>
      </c>
      <c r="G26" s="8"/>
      <c r="Z26" s="6" t="s">
        <v>58</v>
      </c>
      <c r="AA26" s="7" t="s">
        <v>39</v>
      </c>
      <c r="AB26" s="7" t="s">
        <v>37</v>
      </c>
      <c r="AC26" s="18">
        <f>I51</f>
        <v>1666.9411764705883</v>
      </c>
      <c r="AD26" s="7">
        <f>S54+35</f>
        <v>348</v>
      </c>
      <c r="AE26" s="7">
        <f>L59</f>
        <v>2</v>
      </c>
      <c r="AF26" s="8"/>
    </row>
    <row r="27" spans="1:32" ht="15" thickBot="1" x14ac:dyDescent="0.35">
      <c r="A27" s="62"/>
      <c r="B27" s="63"/>
      <c r="C27" s="63" t="s">
        <v>38</v>
      </c>
      <c r="D27" s="64"/>
      <c r="E27" s="118">
        <f>(F26/F27)^((1-I15)/I15)*E26</f>
        <v>344.52027734782621</v>
      </c>
      <c r="F27" s="63">
        <v>1.5</v>
      </c>
      <c r="G27" s="107">
        <f>D26*(E27-E26)*'Dati impianto INPUT'!J12*10^-6</f>
        <v>20.10993694791312</v>
      </c>
      <c r="Z27" s="10"/>
      <c r="AA27" s="11"/>
      <c r="AB27" s="11" t="s">
        <v>38</v>
      </c>
      <c r="AC27" s="11"/>
      <c r="AD27" s="11">
        <f>'Dati impianto INPUT'!D17+273</f>
        <v>313</v>
      </c>
      <c r="AE27" s="11"/>
      <c r="AF27" s="31">
        <f>AC26*E11*(AD26-AD27)*10^-6</f>
        <v>229.96453694117648</v>
      </c>
    </row>
    <row r="28" spans="1:32" ht="15" thickBot="1" x14ac:dyDescent="0.35">
      <c r="M28" s="163" t="s">
        <v>52</v>
      </c>
      <c r="N28" s="167"/>
      <c r="O28" s="105">
        <f>I52*E9</f>
        <v>67.125882352941176</v>
      </c>
      <c r="P28" s="22" t="s">
        <v>2</v>
      </c>
      <c r="Z28" s="10"/>
      <c r="AA28" s="11" t="s">
        <v>42</v>
      </c>
      <c r="AB28" s="11" t="s">
        <v>37</v>
      </c>
      <c r="AC28" s="77">
        <f>AF29*10^6/I5/(AD29-AD28)</f>
        <v>5493.6583120204605</v>
      </c>
      <c r="AD28" s="11">
        <f>I7+273</f>
        <v>298</v>
      </c>
      <c r="AE28" s="11">
        <f>'Dati impianto INPUT'!D21</f>
        <v>1</v>
      </c>
      <c r="AF28" s="12"/>
    </row>
    <row r="29" spans="1:32" ht="15" thickBot="1" x14ac:dyDescent="0.35">
      <c r="H29" s="163" t="s">
        <v>109</v>
      </c>
      <c r="I29" s="167"/>
      <c r="J29" s="23">
        <f>'Dati impianto INPUT'!D5-'MEA - processo di absorbimento'!I52</f>
        <v>479.05882352941177</v>
      </c>
      <c r="K29" s="22" t="s">
        <v>2</v>
      </c>
      <c r="Z29" s="3"/>
      <c r="AA29" s="4"/>
      <c r="AB29" s="4" t="s">
        <v>38</v>
      </c>
      <c r="AC29" s="4"/>
      <c r="AD29" s="4">
        <f>I7+I9+273</f>
        <v>308</v>
      </c>
      <c r="AE29" s="4"/>
      <c r="AF29" s="30">
        <f>AF27</f>
        <v>229.96453694117648</v>
      </c>
    </row>
    <row r="30" spans="1:32" ht="16.2" thickBot="1" x14ac:dyDescent="0.4">
      <c r="A30" s="163" t="s">
        <v>75</v>
      </c>
      <c r="B30" s="164"/>
      <c r="C30" s="101">
        <f>'Dati impianto INPUT'!D5</f>
        <v>580</v>
      </c>
      <c r="D30" s="86" t="s">
        <v>2</v>
      </c>
      <c r="H30" s="163" t="s">
        <v>51</v>
      </c>
      <c r="I30" s="167"/>
      <c r="J30" s="23">
        <f>C31-I52</f>
        <v>11.215686274509807</v>
      </c>
      <c r="K30" s="22" t="s">
        <v>2</v>
      </c>
    </row>
    <row r="31" spans="1:32" ht="16.2" thickBot="1" x14ac:dyDescent="0.4">
      <c r="A31" s="163" t="s">
        <v>69</v>
      </c>
      <c r="B31" s="167"/>
      <c r="C31" s="26">
        <f>'Dati impianto INPUT'!F5*'Dati impianto INPUT'!D9*'Dati impianto INPUT'!J11/100</f>
        <v>112.15686274509804</v>
      </c>
      <c r="D31" s="86" t="s">
        <v>2</v>
      </c>
    </row>
    <row r="32" spans="1:32" ht="15" thickBot="1" x14ac:dyDescent="0.35">
      <c r="F32" s="11"/>
      <c r="P32" s="9"/>
      <c r="S32" s="2" t="s">
        <v>41</v>
      </c>
      <c r="T32" s="2" t="s">
        <v>60</v>
      </c>
      <c r="U32" s="2" t="s">
        <v>55</v>
      </c>
      <c r="V32" s="2" t="s">
        <v>45</v>
      </c>
    </row>
    <row r="33" spans="1:38" x14ac:dyDescent="0.3">
      <c r="F33" s="25"/>
      <c r="P33" s="6" t="s">
        <v>61</v>
      </c>
      <c r="Q33" s="7" t="s">
        <v>40</v>
      </c>
      <c r="R33" s="7" t="s">
        <v>37</v>
      </c>
      <c r="S33" s="29">
        <f>T50</f>
        <v>1566</v>
      </c>
      <c r="T33" s="21">
        <f>S57</f>
        <v>324.068064007212</v>
      </c>
      <c r="U33" s="7">
        <f>AB54</f>
        <v>1.6</v>
      </c>
      <c r="V33" s="8"/>
    </row>
    <row r="34" spans="1:38" x14ac:dyDescent="0.3">
      <c r="P34" s="10"/>
      <c r="Q34" s="11"/>
      <c r="R34" s="13" t="s">
        <v>38</v>
      </c>
      <c r="S34" s="11"/>
      <c r="T34" s="11">
        <f>S54</f>
        <v>313</v>
      </c>
      <c r="U34" s="11"/>
      <c r="V34" s="31">
        <f>S33*E11*(T33-T34)*10^-6</f>
        <v>68.318129788234799</v>
      </c>
    </row>
    <row r="35" spans="1:38" x14ac:dyDescent="0.3">
      <c r="P35" s="10"/>
      <c r="Q35" s="11" t="s">
        <v>42</v>
      </c>
      <c r="R35" s="13" t="s">
        <v>37</v>
      </c>
      <c r="S35" s="77">
        <f>V34*10^6/I5/(T36-T35)</f>
        <v>1632.062345633894</v>
      </c>
      <c r="T35" s="11">
        <f>I7+273</f>
        <v>298</v>
      </c>
      <c r="U35" s="11">
        <f>'Dati impianto INPUT'!D21</f>
        <v>1</v>
      </c>
      <c r="V35" s="12"/>
    </row>
    <row r="36" spans="1:38" ht="15" thickBot="1" x14ac:dyDescent="0.35">
      <c r="P36" s="3"/>
      <c r="Q36" s="4"/>
      <c r="R36" s="4" t="s">
        <v>38</v>
      </c>
      <c r="S36" s="4"/>
      <c r="T36" s="4">
        <f>I7+I9+273</f>
        <v>308</v>
      </c>
      <c r="U36" s="4"/>
      <c r="V36" s="30">
        <f>V34</f>
        <v>68.318129788234799</v>
      </c>
    </row>
    <row r="44" spans="1:38" ht="15" thickBot="1" x14ac:dyDescent="0.35">
      <c r="E44" s="2" t="s">
        <v>41</v>
      </c>
      <c r="F44" s="2" t="s">
        <v>60</v>
      </c>
      <c r="G44" s="2" t="s">
        <v>55</v>
      </c>
      <c r="H44" s="2" t="s">
        <v>45</v>
      </c>
    </row>
    <row r="45" spans="1:38" x14ac:dyDescent="0.3">
      <c r="A45" s="165" t="s">
        <v>128</v>
      </c>
      <c r="B45" s="166"/>
      <c r="C45" s="7" t="s">
        <v>129</v>
      </c>
      <c r="D45" s="7" t="s">
        <v>37</v>
      </c>
      <c r="E45" s="7">
        <f>C30</f>
        <v>580</v>
      </c>
      <c r="F45" s="29">
        <f>E27</f>
        <v>344.52027734782621</v>
      </c>
      <c r="G45" s="7">
        <f>F27</f>
        <v>1.5</v>
      </c>
      <c r="H45" s="8"/>
      <c r="I45" s="11"/>
    </row>
    <row r="46" spans="1:38" x14ac:dyDescent="0.3">
      <c r="A46" s="96"/>
      <c r="B46" s="9"/>
      <c r="C46" s="11"/>
      <c r="D46" s="11" t="s">
        <v>38</v>
      </c>
      <c r="E46" s="11"/>
      <c r="F46" s="11">
        <f>273+40</f>
        <v>313</v>
      </c>
      <c r="G46" s="11"/>
      <c r="H46" s="31">
        <f>E45*(F45-F46)*10^-6*'Dati impianto INPUT'!J12</f>
        <v>20.10993694791312</v>
      </c>
      <c r="I46" s="17"/>
    </row>
    <row r="47" spans="1:38" x14ac:dyDescent="0.3">
      <c r="A47" s="96"/>
      <c r="B47" s="9"/>
      <c r="C47" s="11" t="s">
        <v>42</v>
      </c>
      <c r="D47" s="11" t="s">
        <v>37</v>
      </c>
      <c r="E47" s="77">
        <f>H46*10^6/I5/(F48-F47)</f>
        <v>480.40938719333781</v>
      </c>
      <c r="F47" s="70">
        <f>I7+273</f>
        <v>298</v>
      </c>
      <c r="G47" s="11">
        <f>G45</f>
        <v>1.5</v>
      </c>
      <c r="H47" s="12"/>
      <c r="I47" s="11"/>
      <c r="AI47" s="9"/>
      <c r="AJ47" s="9"/>
      <c r="AK47" s="17"/>
      <c r="AL47" s="27"/>
    </row>
    <row r="48" spans="1:38" ht="15" thickBot="1" x14ac:dyDescent="0.35">
      <c r="A48" s="3"/>
      <c r="B48" s="4"/>
      <c r="C48" s="4"/>
      <c r="D48" s="4" t="s">
        <v>38</v>
      </c>
      <c r="E48" s="4"/>
      <c r="F48" s="90">
        <f>F47+I9</f>
        <v>308</v>
      </c>
      <c r="G48" s="19"/>
      <c r="H48" s="30">
        <f>H46</f>
        <v>20.10993694791312</v>
      </c>
      <c r="I48" s="17"/>
    </row>
    <row r="49" spans="1:29" ht="15" thickBot="1" x14ac:dyDescent="0.35"/>
    <row r="50" spans="1:29" ht="15" thickBot="1" x14ac:dyDescent="0.35">
      <c r="R50" s="163" t="s">
        <v>77</v>
      </c>
      <c r="S50" s="167"/>
      <c r="T50" s="28">
        <f>I53</f>
        <v>1566</v>
      </c>
      <c r="U50" s="22" t="s">
        <v>2</v>
      </c>
    </row>
    <row r="51" spans="1:29" ht="15" thickBot="1" x14ac:dyDescent="0.35">
      <c r="G51" s="163" t="s">
        <v>108</v>
      </c>
      <c r="H51" s="167"/>
      <c r="I51" s="23">
        <f>I53+I52</f>
        <v>1666.9411764705883</v>
      </c>
      <c r="J51" s="22" t="s">
        <v>2</v>
      </c>
    </row>
    <row r="52" spans="1:29" ht="16.2" thickBot="1" x14ac:dyDescent="0.4">
      <c r="G52" s="163" t="s">
        <v>50</v>
      </c>
      <c r="H52" s="167"/>
      <c r="I52" s="23">
        <f>C31*A4</f>
        <v>100.94117647058823</v>
      </c>
      <c r="J52" s="22" t="s">
        <v>2</v>
      </c>
    </row>
    <row r="53" spans="1:29" ht="15" thickBot="1" x14ac:dyDescent="0.35">
      <c r="G53" s="163" t="s">
        <v>53</v>
      </c>
      <c r="H53" s="164"/>
      <c r="I53" s="104">
        <f>E5*C30</f>
        <v>1566</v>
      </c>
      <c r="J53" s="22" t="s">
        <v>2</v>
      </c>
      <c r="R53" s="2" t="s">
        <v>41</v>
      </c>
      <c r="S53" s="2" t="s">
        <v>60</v>
      </c>
      <c r="T53" s="2" t="s">
        <v>55</v>
      </c>
      <c r="U53" s="2" t="s">
        <v>45</v>
      </c>
      <c r="Z53" s="2" t="s">
        <v>41</v>
      </c>
      <c r="AA53" s="2" t="s">
        <v>60</v>
      </c>
      <c r="AB53" s="2" t="s">
        <v>55</v>
      </c>
      <c r="AC53" s="2" t="s">
        <v>45</v>
      </c>
    </row>
    <row r="54" spans="1:29" x14ac:dyDescent="0.3">
      <c r="O54" s="6" t="s">
        <v>57</v>
      </c>
      <c r="P54" s="7" t="s">
        <v>39</v>
      </c>
      <c r="Q54" s="7" t="s">
        <v>37</v>
      </c>
      <c r="R54" s="18">
        <f>I51</f>
        <v>1666.9411764705883</v>
      </c>
      <c r="S54" s="7">
        <f>F46</f>
        <v>313</v>
      </c>
      <c r="T54" s="7">
        <f>L59</f>
        <v>2</v>
      </c>
      <c r="U54" s="8"/>
      <c r="W54" s="6" t="s">
        <v>59</v>
      </c>
      <c r="X54" s="7" t="s">
        <v>40</v>
      </c>
      <c r="Y54" s="7" t="s">
        <v>38</v>
      </c>
      <c r="Z54" s="29">
        <f>T50</f>
        <v>1566</v>
      </c>
      <c r="AA54" s="7">
        <v>389</v>
      </c>
      <c r="AB54" s="7">
        <f>AE26-0.4</f>
        <v>1.6</v>
      </c>
      <c r="AC54" s="32">
        <f>A7*I52</f>
        <v>454.23529411764707</v>
      </c>
    </row>
    <row r="55" spans="1:29" ht="15.6" customHeight="1" thickBot="1" x14ac:dyDescent="0.35">
      <c r="O55" s="10"/>
      <c r="P55" s="11"/>
      <c r="Q55" s="11" t="s">
        <v>38</v>
      </c>
      <c r="R55" s="11"/>
      <c r="S55" s="11">
        <f>101+273</f>
        <v>374</v>
      </c>
      <c r="T55" s="11"/>
      <c r="U55" s="31">
        <f>R54*E11*(S55-S54)*10^-6</f>
        <v>400.79533581176469</v>
      </c>
      <c r="W55" s="3"/>
      <c r="X55" s="4" t="s">
        <v>44</v>
      </c>
      <c r="Y55" s="4" t="s">
        <v>37</v>
      </c>
      <c r="Z55" s="16">
        <f>E7*I52</f>
        <v>151.41176470588235</v>
      </c>
      <c r="AA55" s="4">
        <f>150+273</f>
        <v>423</v>
      </c>
      <c r="AB55" s="4">
        <f>Z59*10^-2</f>
        <v>5.1000000000000005</v>
      </c>
      <c r="AC55" s="5"/>
    </row>
    <row r="56" spans="1:29" x14ac:dyDescent="0.3">
      <c r="O56" s="10"/>
      <c r="P56" s="11" t="s">
        <v>40</v>
      </c>
      <c r="Q56" s="11" t="s">
        <v>37</v>
      </c>
      <c r="R56" s="70">
        <f>T50</f>
        <v>1566</v>
      </c>
      <c r="S56" s="11">
        <f>AA54</f>
        <v>389</v>
      </c>
      <c r="T56" s="11">
        <f>AB54</f>
        <v>1.6</v>
      </c>
      <c r="U56" s="12"/>
    </row>
    <row r="57" spans="1:29" ht="15" thickBot="1" x14ac:dyDescent="0.35">
      <c r="J57" s="2" t="s">
        <v>41</v>
      </c>
      <c r="K57" s="2" t="s">
        <v>60</v>
      </c>
      <c r="L57" s="2" t="s">
        <v>55</v>
      </c>
      <c r="M57" s="2" t="s">
        <v>45</v>
      </c>
      <c r="O57" s="3"/>
      <c r="P57" s="4"/>
      <c r="Q57" s="4" t="s">
        <v>38</v>
      </c>
      <c r="R57" s="4"/>
      <c r="S57" s="19">
        <f>(R56*E11*S56-U57*10^6)/R56/E11</f>
        <v>324.068064007212</v>
      </c>
      <c r="T57" s="4"/>
      <c r="U57" s="30">
        <f>U55</f>
        <v>400.79533581176469</v>
      </c>
    </row>
    <row r="58" spans="1:29" ht="16.2" thickBot="1" x14ac:dyDescent="0.4">
      <c r="A58" s="99" t="s">
        <v>132</v>
      </c>
      <c r="G58" s="178" t="s">
        <v>56</v>
      </c>
      <c r="H58" s="179"/>
      <c r="I58" s="59" t="s">
        <v>37</v>
      </c>
      <c r="J58" s="60">
        <f>I51</f>
        <v>1666.9411764705883</v>
      </c>
      <c r="K58" s="59">
        <f>S54</f>
        <v>313</v>
      </c>
      <c r="L58" s="59">
        <v>1</v>
      </c>
      <c r="M58" s="61"/>
      <c r="X58" s="39" t="s">
        <v>34</v>
      </c>
      <c r="Y58" s="50" t="s">
        <v>35</v>
      </c>
      <c r="Z58" s="50" t="s">
        <v>74</v>
      </c>
      <c r="AA58" s="40" t="s">
        <v>72</v>
      </c>
    </row>
    <row r="59" spans="1:29" ht="16.2" thickBot="1" x14ac:dyDescent="0.4">
      <c r="A59" s="163" t="s">
        <v>62</v>
      </c>
      <c r="B59" s="164"/>
      <c r="C59" s="109">
        <f>X61+AB6+M59+G27</f>
        <v>152.12034651886967</v>
      </c>
      <c r="D59" s="87" t="s">
        <v>1</v>
      </c>
      <c r="F59" s="25"/>
      <c r="G59" s="62"/>
      <c r="H59" s="63"/>
      <c r="I59" s="63" t="s">
        <v>38</v>
      </c>
      <c r="J59" s="64"/>
      <c r="K59" s="63"/>
      <c r="L59" s="63">
        <v>2</v>
      </c>
      <c r="M59" s="108">
        <f>J58/E13*(L59-L58)*10^5/A9/1000000</f>
        <v>0.16933575543179483</v>
      </c>
      <c r="X59" s="39">
        <f>AD27</f>
        <v>313</v>
      </c>
      <c r="Y59" s="50">
        <f>AA54</f>
        <v>389</v>
      </c>
      <c r="Z59" s="65">
        <v>510</v>
      </c>
      <c r="AA59" s="39">
        <f>(0.7855+1.485*Z59*10^-4)</f>
        <v>0.86123499999999997</v>
      </c>
    </row>
    <row r="60" spans="1:29" ht="16.2" thickBot="1" x14ac:dyDescent="0.4">
      <c r="A60" s="163" t="s">
        <v>63</v>
      </c>
      <c r="B60" s="164"/>
      <c r="C60" s="109">
        <f>'Dati impianto INPUT'!D4-'MEA - processo di absorbimento'!C59</f>
        <v>347.87965348113033</v>
      </c>
      <c r="D60" s="89" t="s">
        <v>1</v>
      </c>
      <c r="F60" s="25"/>
      <c r="X60" s="158" t="s">
        <v>67</v>
      </c>
      <c r="Y60" s="158"/>
      <c r="Z60" s="158"/>
      <c r="AA60" s="9"/>
    </row>
    <row r="61" spans="1:29" ht="15" thickBot="1" x14ac:dyDescent="0.35">
      <c r="A61" s="163" t="s">
        <v>64</v>
      </c>
      <c r="B61" s="164"/>
      <c r="C61" s="109">
        <f>C59/'Dati impianto INPUT'!D4*100</f>
        <v>30.424069303773933</v>
      </c>
      <c r="D61" s="88" t="s">
        <v>54</v>
      </c>
      <c r="F61" s="25"/>
      <c r="X61" s="171">
        <f>AA59*AC54*(1-X59/(Y59+10))</f>
        <v>84.319515497567437</v>
      </c>
      <c r="Y61" s="171"/>
      <c r="Z61" s="171"/>
    </row>
    <row r="66" spans="11:11" x14ac:dyDescent="0.3">
      <c r="K66" s="13"/>
    </row>
    <row r="67" spans="11:11" x14ac:dyDescent="0.3">
      <c r="K67" s="95"/>
    </row>
    <row r="93" spans="9:9" x14ac:dyDescent="0.3">
      <c r="I93" s="25"/>
    </row>
    <row r="94" spans="9:9" x14ac:dyDescent="0.3">
      <c r="I94" s="25"/>
    </row>
    <row r="95" spans="9:9" x14ac:dyDescent="0.3">
      <c r="I95" s="11"/>
    </row>
  </sheetData>
  <mergeCells count="56">
    <mergeCell ref="O9:U9"/>
    <mergeCell ref="O10:U10"/>
    <mergeCell ref="O11:U11"/>
    <mergeCell ref="O4:U4"/>
    <mergeCell ref="O5:U5"/>
    <mergeCell ref="O6:U6"/>
    <mergeCell ref="O7:U7"/>
    <mergeCell ref="O8:U8"/>
    <mergeCell ref="I3:K3"/>
    <mergeCell ref="I4:K4"/>
    <mergeCell ref="I5:K5"/>
    <mergeCell ref="I7:K7"/>
    <mergeCell ref="I6:K6"/>
    <mergeCell ref="A3:C3"/>
    <mergeCell ref="A4:C4"/>
    <mergeCell ref="E3:G3"/>
    <mergeCell ref="E6:G6"/>
    <mergeCell ref="E4:G4"/>
    <mergeCell ref="A6:C6"/>
    <mergeCell ref="A26:B26"/>
    <mergeCell ref="A30:B30"/>
    <mergeCell ref="E5:G5"/>
    <mergeCell ref="E7:G7"/>
    <mergeCell ref="E9:G9"/>
    <mergeCell ref="A7:C7"/>
    <mergeCell ref="A10:C10"/>
    <mergeCell ref="A11:C11"/>
    <mergeCell ref="E8:G8"/>
    <mergeCell ref="E10:G10"/>
    <mergeCell ref="I9:K9"/>
    <mergeCell ref="I8:K8"/>
    <mergeCell ref="A8:C8"/>
    <mergeCell ref="A9:C9"/>
    <mergeCell ref="I11:K11"/>
    <mergeCell ref="E11:G11"/>
    <mergeCell ref="G53:H53"/>
    <mergeCell ref="E12:G12"/>
    <mergeCell ref="X60:Z60"/>
    <mergeCell ref="X61:Z61"/>
    <mergeCell ref="I12:K12"/>
    <mergeCell ref="I13:K13"/>
    <mergeCell ref="I14:K14"/>
    <mergeCell ref="I15:K15"/>
    <mergeCell ref="G58:H58"/>
    <mergeCell ref="M28:N28"/>
    <mergeCell ref="R50:S50"/>
    <mergeCell ref="E13:G13"/>
    <mergeCell ref="G52:H52"/>
    <mergeCell ref="G51:H51"/>
    <mergeCell ref="H30:I30"/>
    <mergeCell ref="H29:I29"/>
    <mergeCell ref="A59:B59"/>
    <mergeCell ref="A60:B60"/>
    <mergeCell ref="A61:B61"/>
    <mergeCell ref="A45:B45"/>
    <mergeCell ref="A31:B31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62849-7FB7-4DDA-BE59-814B3C27FAE2}">
  <dimension ref="A1:AM60"/>
  <sheetViews>
    <sheetView zoomScale="70" zoomScaleNormal="70" workbookViewId="0">
      <selection activeCell="AE58" sqref="AE58:AG58"/>
    </sheetView>
  </sheetViews>
  <sheetFormatPr defaultRowHeight="14.4" x14ac:dyDescent="0.3"/>
  <cols>
    <col min="1" max="1" width="25.88671875" customWidth="1"/>
    <col min="2" max="2" width="19.77734375" customWidth="1"/>
    <col min="4" max="4" width="17.88671875" customWidth="1"/>
    <col min="5" max="5" width="15.44140625" customWidth="1"/>
    <col min="6" max="6" width="15" customWidth="1"/>
    <col min="7" max="7" width="13.6640625" customWidth="1"/>
    <col min="8" max="8" width="14.5546875" customWidth="1"/>
    <col min="9" max="9" width="14.21875" customWidth="1"/>
    <col min="10" max="10" width="12.44140625" customWidth="1"/>
    <col min="11" max="11" width="14.33203125" customWidth="1"/>
    <col min="12" max="12" width="14.6640625" customWidth="1"/>
    <col min="13" max="13" width="13.33203125" customWidth="1"/>
    <col min="14" max="14" width="15.33203125" customWidth="1"/>
    <col min="18" max="18" width="9.77734375" customWidth="1"/>
    <col min="19" max="19" width="11.5546875" customWidth="1"/>
    <col min="20" max="20" width="12.5546875" customWidth="1"/>
    <col min="21" max="21" width="14.6640625" customWidth="1"/>
    <col min="22" max="22" width="14.21875" customWidth="1"/>
    <col min="23" max="23" width="14.77734375" customWidth="1"/>
    <col min="24" max="24" width="14.33203125" customWidth="1"/>
    <col min="25" max="25" width="13.109375" customWidth="1"/>
    <col min="26" max="26" width="12" customWidth="1"/>
    <col min="27" max="27" width="12.109375" customWidth="1"/>
    <col min="28" max="28" width="14.6640625" customWidth="1"/>
    <col min="29" max="29" width="14.88671875" customWidth="1"/>
    <col min="30" max="30" width="13.6640625" customWidth="1"/>
    <col min="31" max="31" width="13" customWidth="1"/>
    <col min="32" max="32" width="15.6640625" customWidth="1"/>
    <col min="33" max="33" width="13" customWidth="1"/>
    <col min="34" max="34" width="12.109375" customWidth="1"/>
    <col min="35" max="35" width="14.33203125" customWidth="1"/>
    <col min="36" max="36" width="12.88671875" customWidth="1"/>
    <col min="37" max="37" width="13.109375" customWidth="1"/>
    <col min="38" max="38" width="13.33203125" customWidth="1"/>
    <col min="39" max="39" width="14.33203125" customWidth="1"/>
    <col min="40" max="40" width="13.88671875" customWidth="1"/>
    <col min="41" max="41" width="12.33203125" customWidth="1"/>
    <col min="42" max="42" width="14.5546875" customWidth="1"/>
    <col min="43" max="43" width="13.88671875" customWidth="1"/>
    <col min="44" max="44" width="13.109375" customWidth="1"/>
  </cols>
  <sheetData>
    <row r="1" spans="1:30" ht="15" thickBot="1" x14ac:dyDescent="0.35">
      <c r="A1" s="98" t="s">
        <v>135</v>
      </c>
      <c r="M1" s="44" t="s">
        <v>13</v>
      </c>
    </row>
    <row r="2" spans="1:30" x14ac:dyDescent="0.3">
      <c r="M2" s="42" t="s">
        <v>14</v>
      </c>
      <c r="N2" s="188" t="s">
        <v>169</v>
      </c>
      <c r="O2" s="188"/>
      <c r="P2" s="188"/>
      <c r="Q2" s="188"/>
      <c r="R2" s="188"/>
      <c r="S2" s="188"/>
      <c r="T2" s="188"/>
      <c r="U2" s="188"/>
      <c r="V2" s="189"/>
    </row>
    <row r="3" spans="1:30" ht="15.6" x14ac:dyDescent="0.35">
      <c r="A3" s="187" t="s">
        <v>65</v>
      </c>
      <c r="B3" s="189"/>
      <c r="E3" s="195" t="s">
        <v>110</v>
      </c>
      <c r="F3" s="196"/>
      <c r="G3" s="197"/>
      <c r="I3" s="193" t="s">
        <v>71</v>
      </c>
      <c r="J3" s="193"/>
      <c r="K3" s="193"/>
      <c r="M3" s="34"/>
      <c r="N3" s="176" t="s">
        <v>170</v>
      </c>
      <c r="O3" s="176"/>
      <c r="P3" s="176"/>
      <c r="Q3" s="176"/>
      <c r="R3" s="176"/>
      <c r="S3" s="176"/>
      <c r="T3" s="176"/>
      <c r="U3" s="176"/>
      <c r="V3" s="177"/>
    </row>
    <row r="4" spans="1:30" ht="15.6" x14ac:dyDescent="0.35">
      <c r="A4" s="175">
        <v>0.9</v>
      </c>
      <c r="B4" s="177"/>
      <c r="E4" s="74" t="s">
        <v>46</v>
      </c>
      <c r="F4" s="74" t="s">
        <v>48</v>
      </c>
      <c r="G4" s="72" t="s">
        <v>47</v>
      </c>
      <c r="I4" s="187" t="s">
        <v>49</v>
      </c>
      <c r="J4" s="188"/>
      <c r="K4" s="189"/>
      <c r="M4" s="35" t="s">
        <v>16</v>
      </c>
      <c r="N4" s="188" t="s">
        <v>173</v>
      </c>
      <c r="O4" s="188"/>
      <c r="P4" s="188"/>
      <c r="Q4" s="188"/>
      <c r="R4" s="188"/>
      <c r="S4" s="188"/>
      <c r="T4" s="188"/>
      <c r="U4" s="188"/>
      <c r="V4" s="189"/>
    </row>
    <row r="5" spans="1:30" x14ac:dyDescent="0.3">
      <c r="A5" s="9"/>
      <c r="B5" s="9"/>
      <c r="E5" s="57">
        <v>30</v>
      </c>
      <c r="F5" s="57">
        <v>30</v>
      </c>
      <c r="G5" s="73">
        <v>40</v>
      </c>
      <c r="I5" s="168">
        <v>4186</v>
      </c>
      <c r="J5" s="169"/>
      <c r="K5" s="170"/>
      <c r="M5" s="34"/>
      <c r="N5" s="176" t="s">
        <v>171</v>
      </c>
      <c r="O5" s="176"/>
      <c r="P5" s="176"/>
      <c r="Q5" s="176"/>
      <c r="R5" s="176"/>
      <c r="S5" s="176"/>
      <c r="T5" s="176"/>
      <c r="U5" s="176"/>
      <c r="V5" s="177"/>
    </row>
    <row r="6" spans="1:30" ht="15.6" x14ac:dyDescent="0.35">
      <c r="A6" s="187" t="s">
        <v>66</v>
      </c>
      <c r="B6" s="188"/>
      <c r="C6" s="189"/>
      <c r="D6" s="80"/>
      <c r="E6" s="187" t="s">
        <v>125</v>
      </c>
      <c r="F6" s="188"/>
      <c r="G6" s="189"/>
      <c r="I6" s="172" t="s">
        <v>43</v>
      </c>
      <c r="J6" s="173"/>
      <c r="K6" s="174"/>
      <c r="M6" s="137" t="s">
        <v>19</v>
      </c>
      <c r="N6" s="188" t="s">
        <v>172</v>
      </c>
      <c r="O6" s="188"/>
      <c r="P6" s="188"/>
      <c r="Q6" s="188"/>
      <c r="R6" s="188"/>
      <c r="S6" s="188"/>
      <c r="T6" s="188"/>
      <c r="U6" s="188"/>
      <c r="V6" s="189"/>
    </row>
    <row r="7" spans="1:30" x14ac:dyDescent="0.3">
      <c r="A7" s="168">
        <v>3.2</v>
      </c>
      <c r="B7" s="169"/>
      <c r="C7" s="170"/>
      <c r="D7" s="80"/>
      <c r="E7" s="168">
        <v>2</v>
      </c>
      <c r="F7" s="169"/>
      <c r="G7" s="170"/>
      <c r="I7" s="180">
        <f>'Dati impianto INPUT'!D22</f>
        <v>25</v>
      </c>
      <c r="J7" s="180"/>
      <c r="K7" s="180"/>
      <c r="M7" s="34"/>
      <c r="N7" s="176" t="s">
        <v>174</v>
      </c>
      <c r="O7" s="176"/>
      <c r="P7" s="176"/>
      <c r="Q7" s="176"/>
      <c r="R7" s="176"/>
      <c r="S7" s="176"/>
      <c r="T7" s="176"/>
      <c r="U7" s="176"/>
      <c r="V7" s="177"/>
    </row>
    <row r="8" spans="1:30" ht="15.6" x14ac:dyDescent="0.35">
      <c r="A8" s="168" t="s">
        <v>73</v>
      </c>
      <c r="B8" s="169"/>
      <c r="C8" s="170"/>
      <c r="D8" s="80"/>
      <c r="E8" s="168" t="s">
        <v>25</v>
      </c>
      <c r="F8" s="169"/>
      <c r="G8" s="170"/>
      <c r="I8" s="172" t="s">
        <v>32</v>
      </c>
      <c r="J8" s="173"/>
      <c r="K8" s="174"/>
    </row>
    <row r="9" spans="1:30" ht="15" thickBot="1" x14ac:dyDescent="0.35">
      <c r="A9" s="180">
        <v>0.92</v>
      </c>
      <c r="B9" s="180"/>
      <c r="C9" s="180"/>
      <c r="D9" s="80"/>
      <c r="E9" s="168">
        <f>1.5</f>
        <v>1.5</v>
      </c>
      <c r="F9" s="169"/>
      <c r="G9" s="170"/>
      <c r="I9" s="180">
        <f>'Dati impianto INPUT'!D23</f>
        <v>10</v>
      </c>
      <c r="J9" s="180"/>
      <c r="K9" s="180"/>
      <c r="AA9" s="2" t="s">
        <v>41</v>
      </c>
      <c r="AB9" s="2" t="s">
        <v>60</v>
      </c>
      <c r="AC9" s="2" t="s">
        <v>55</v>
      </c>
      <c r="AD9" s="2" t="s">
        <v>45</v>
      </c>
    </row>
    <row r="10" spans="1:30" ht="15.6" x14ac:dyDescent="0.35">
      <c r="A10" s="172" t="s">
        <v>79</v>
      </c>
      <c r="B10" s="173"/>
      <c r="C10" s="174"/>
      <c r="D10" s="81"/>
      <c r="E10" s="168" t="s">
        <v>26</v>
      </c>
      <c r="F10" s="169"/>
      <c r="G10" s="170"/>
      <c r="X10" s="165" t="s">
        <v>83</v>
      </c>
      <c r="Y10" s="166"/>
      <c r="Z10" s="7" t="s">
        <v>37</v>
      </c>
      <c r="AA10" s="106">
        <f>N48</f>
        <v>100.94117647058823</v>
      </c>
      <c r="AB10" s="102">
        <f>AK24</f>
        <v>313</v>
      </c>
      <c r="AC10" s="7">
        <f>AL23</f>
        <v>2</v>
      </c>
      <c r="AD10" s="8"/>
    </row>
    <row r="11" spans="1:30" ht="16.2" thickBot="1" x14ac:dyDescent="0.4">
      <c r="A11" s="175">
        <f>'Dati impianto INPUT'!D16/2</f>
        <v>75</v>
      </c>
      <c r="B11" s="176"/>
      <c r="C11" s="177"/>
      <c r="D11" s="80"/>
      <c r="E11" s="168">
        <v>0.3291</v>
      </c>
      <c r="F11" s="169"/>
      <c r="G11" s="170"/>
      <c r="I11" s="184" t="s">
        <v>78</v>
      </c>
      <c r="J11" s="185"/>
      <c r="K11" s="186"/>
      <c r="X11" s="3"/>
      <c r="Y11" s="4"/>
      <c r="Z11" s="4" t="s">
        <v>38</v>
      </c>
      <c r="AA11" s="4"/>
      <c r="AB11" s="4"/>
      <c r="AC11" s="103">
        <f>'Dati impianto INPUT'!D16</f>
        <v>150</v>
      </c>
      <c r="AD11" s="107">
        <f>AA10*I13*AB10*0.9*(A11^((I15-1)/I15)-1)*10^-6</f>
        <v>42.769402486161553</v>
      </c>
    </row>
    <row r="12" spans="1:30" ht="15.6" x14ac:dyDescent="0.35">
      <c r="E12" s="168" t="s">
        <v>138</v>
      </c>
      <c r="F12" s="169"/>
      <c r="G12" s="170"/>
      <c r="I12" s="187" t="s">
        <v>81</v>
      </c>
      <c r="J12" s="188"/>
      <c r="K12" s="189"/>
    </row>
    <row r="13" spans="1:30" x14ac:dyDescent="0.3">
      <c r="E13" s="168">
        <v>3340</v>
      </c>
      <c r="F13" s="169"/>
      <c r="G13" s="170"/>
      <c r="I13" s="168">
        <v>846</v>
      </c>
      <c r="J13" s="169"/>
      <c r="K13" s="170"/>
    </row>
    <row r="14" spans="1:30" ht="16.2" x14ac:dyDescent="0.3">
      <c r="A14" s="39"/>
      <c r="B14" s="39" t="s">
        <v>118</v>
      </c>
      <c r="E14" s="168" t="s">
        <v>111</v>
      </c>
      <c r="F14" s="169"/>
      <c r="G14" s="170"/>
      <c r="I14" s="172" t="s">
        <v>80</v>
      </c>
      <c r="J14" s="173"/>
      <c r="K14" s="174"/>
    </row>
    <row r="15" spans="1:30" x14ac:dyDescent="0.3">
      <c r="A15" s="39"/>
      <c r="B15" s="39" t="s">
        <v>117</v>
      </c>
      <c r="E15" s="175">
        <v>1012</v>
      </c>
      <c r="F15" s="176"/>
      <c r="G15" s="177"/>
      <c r="I15" s="175">
        <v>1.31</v>
      </c>
      <c r="J15" s="176"/>
      <c r="K15" s="177"/>
    </row>
    <row r="16" spans="1:30" x14ac:dyDescent="0.3">
      <c r="A16" s="39"/>
      <c r="B16" s="39" t="s">
        <v>121</v>
      </c>
      <c r="K16" s="37"/>
      <c r="L16" s="37"/>
    </row>
    <row r="17" spans="1:39" x14ac:dyDescent="0.3">
      <c r="A17" s="39"/>
      <c r="B17" s="39" t="s">
        <v>119</v>
      </c>
      <c r="K17" s="37"/>
      <c r="L17" s="37"/>
      <c r="O17" s="37"/>
    </row>
    <row r="18" spans="1:39" ht="15.6" x14ac:dyDescent="0.35">
      <c r="A18" s="39"/>
      <c r="B18" s="39" t="s">
        <v>120</v>
      </c>
      <c r="O18" s="37"/>
    </row>
    <row r="19" spans="1:39" x14ac:dyDescent="0.3">
      <c r="A19" s="39"/>
      <c r="B19" s="39" t="s">
        <v>95</v>
      </c>
      <c r="O19" s="37"/>
    </row>
    <row r="20" spans="1:39" x14ac:dyDescent="0.3">
      <c r="M20" s="37"/>
      <c r="N20" s="37"/>
      <c r="O20" s="37"/>
    </row>
    <row r="22" spans="1:39" ht="15" thickBot="1" x14ac:dyDescent="0.35">
      <c r="E22" s="2" t="s">
        <v>41</v>
      </c>
      <c r="F22" s="2" t="s">
        <v>60</v>
      </c>
      <c r="G22" s="2" t="s">
        <v>55</v>
      </c>
      <c r="H22" s="2" t="s">
        <v>45</v>
      </c>
      <c r="AJ22" s="2" t="s">
        <v>41</v>
      </c>
      <c r="AK22" s="2" t="s">
        <v>60</v>
      </c>
      <c r="AL22" s="2" t="s">
        <v>55</v>
      </c>
      <c r="AM22" s="2" t="s">
        <v>45</v>
      </c>
    </row>
    <row r="23" spans="1:39" x14ac:dyDescent="0.3">
      <c r="B23" s="178" t="s">
        <v>133</v>
      </c>
      <c r="C23" s="179"/>
      <c r="D23" s="59" t="s">
        <v>37</v>
      </c>
      <c r="E23" s="97">
        <f>B28</f>
        <v>580</v>
      </c>
      <c r="F23" s="102">
        <f>'Dati impianto INPUT'!D8+273</f>
        <v>313</v>
      </c>
      <c r="G23" s="102">
        <f>'Dati impianto INPUT'!D7</f>
        <v>1</v>
      </c>
      <c r="H23" s="8"/>
      <c r="AG23" s="6" t="s">
        <v>58</v>
      </c>
      <c r="AH23" s="7" t="s">
        <v>39</v>
      </c>
      <c r="AI23" s="7" t="s">
        <v>37</v>
      </c>
      <c r="AJ23" s="18">
        <f>N47</f>
        <v>1260.9411764705883</v>
      </c>
      <c r="AK23" s="7">
        <f>AA48+35</f>
        <v>348</v>
      </c>
      <c r="AL23" s="7">
        <f>AB48</f>
        <v>2</v>
      </c>
      <c r="AM23" s="8"/>
    </row>
    <row r="24" spans="1:39" ht="15" thickBot="1" x14ac:dyDescent="0.35">
      <c r="B24" s="62"/>
      <c r="C24" s="63"/>
      <c r="D24" s="63" t="s">
        <v>38</v>
      </c>
      <c r="E24" s="64"/>
      <c r="F24" s="64">
        <f>(G23/G24)^((1-I15)/I15)*F23</f>
        <v>344.52027734782621</v>
      </c>
      <c r="G24" s="63">
        <v>1.5</v>
      </c>
      <c r="H24" s="107">
        <f>E23*(F24-F23)*'Dati impianto INPUT'!J12*10^-6</f>
        <v>20.10993694791312</v>
      </c>
      <c r="AG24" s="10"/>
      <c r="AH24" s="11"/>
      <c r="AI24" s="11" t="s">
        <v>38</v>
      </c>
      <c r="AJ24" s="11"/>
      <c r="AK24" s="11">
        <f>'Dati impianto INPUT'!D17+273</f>
        <v>313</v>
      </c>
      <c r="AL24" s="11"/>
      <c r="AM24" s="31">
        <f>AJ23*E13*(AK23-AK24)*10^-6</f>
        <v>147.40402352941175</v>
      </c>
    </row>
    <row r="25" spans="1:39" x14ac:dyDescent="0.3">
      <c r="AG25" s="10"/>
      <c r="AH25" s="11" t="s">
        <v>42</v>
      </c>
      <c r="AI25" s="11" t="s">
        <v>37</v>
      </c>
      <c r="AJ25" s="77">
        <f>AM26*10^6/I5/(AK26-AK25)</f>
        <v>3521.3574660633481</v>
      </c>
      <c r="AK25" s="11">
        <f>273+I7</f>
        <v>298</v>
      </c>
      <c r="AL25" s="11">
        <f>'Dati impianto INPUT'!D21</f>
        <v>1</v>
      </c>
      <c r="AM25" s="12"/>
    </row>
    <row r="26" spans="1:39" ht="15" thickBot="1" x14ac:dyDescent="0.35">
      <c r="AG26" s="3"/>
      <c r="AH26" s="4"/>
      <c r="AI26" s="4" t="s">
        <v>38</v>
      </c>
      <c r="AJ26" s="4"/>
      <c r="AK26" s="4">
        <f>273+I9+I7</f>
        <v>308</v>
      </c>
      <c r="AL26" s="4"/>
      <c r="AM26" s="30">
        <f>AM24</f>
        <v>147.40402352941175</v>
      </c>
    </row>
    <row r="27" spans="1:39" ht="15" thickBot="1" x14ac:dyDescent="0.35"/>
    <row r="28" spans="1:39" ht="15" thickBot="1" x14ac:dyDescent="0.35">
      <c r="A28" s="84" t="s">
        <v>75</v>
      </c>
      <c r="B28" s="101">
        <f>'Dati impianto INPUT'!D5</f>
        <v>580</v>
      </c>
      <c r="C28" s="24" t="s">
        <v>2</v>
      </c>
      <c r="V28" s="2" t="s">
        <v>41</v>
      </c>
      <c r="W28" s="2" t="s">
        <v>60</v>
      </c>
      <c r="X28" s="2" t="s">
        <v>55</v>
      </c>
      <c r="Y28" s="2" t="s">
        <v>45</v>
      </c>
    </row>
    <row r="29" spans="1:39" ht="16.2" thickBot="1" x14ac:dyDescent="0.4">
      <c r="A29" s="84" t="s">
        <v>69</v>
      </c>
      <c r="B29" s="26">
        <f>'Dati impianto INPUT'!F5*'Dati impianto INPUT'!D9*'Dati impianto INPUT'!J11/100</f>
        <v>112.15686274509804</v>
      </c>
      <c r="C29" s="67" t="s">
        <v>2</v>
      </c>
      <c r="G29" s="163" t="s">
        <v>109</v>
      </c>
      <c r="H29" s="167"/>
      <c r="I29" s="23">
        <f>'Dati impianto INPUT'!D5-'IL - processo di absorbimento'!N48</f>
        <v>479.05882352941177</v>
      </c>
      <c r="J29" s="24" t="s">
        <v>2</v>
      </c>
      <c r="M29" s="163" t="s">
        <v>52</v>
      </c>
      <c r="N29" s="167"/>
      <c r="O29" s="111">
        <f>E11*B29</f>
        <v>36.910823529411765</v>
      </c>
      <c r="P29" s="67" t="s">
        <v>2</v>
      </c>
      <c r="R29" s="165" t="s">
        <v>61</v>
      </c>
      <c r="S29" s="166"/>
      <c r="T29" s="7" t="s">
        <v>40</v>
      </c>
      <c r="U29" s="7" t="s">
        <v>37</v>
      </c>
      <c r="V29" s="18">
        <f>N49</f>
        <v>1160</v>
      </c>
      <c r="W29" s="21">
        <f>AA51</f>
        <v>323.21399594320485</v>
      </c>
      <c r="X29" s="7">
        <f>T53</f>
        <v>1.1000000000000001</v>
      </c>
      <c r="Y29" s="8"/>
    </row>
    <row r="30" spans="1:39" ht="16.2" thickBot="1" x14ac:dyDescent="0.4">
      <c r="G30" s="163" t="s">
        <v>51</v>
      </c>
      <c r="H30" s="167"/>
      <c r="I30" s="23">
        <f>B29-N48</f>
        <v>11.215686274509807</v>
      </c>
      <c r="J30" s="24" t="s">
        <v>2</v>
      </c>
      <c r="R30" s="10"/>
      <c r="S30" s="11"/>
      <c r="T30" s="11"/>
      <c r="U30" s="13" t="s">
        <v>38</v>
      </c>
      <c r="V30" s="11"/>
      <c r="W30" s="11">
        <f>S53</f>
        <v>313</v>
      </c>
      <c r="X30" s="11"/>
      <c r="Y30" s="14">
        <f>V29*E13*(W29-W30)*10^-6</f>
        <v>39.57310588235287</v>
      </c>
    </row>
    <row r="31" spans="1:39" x14ac:dyDescent="0.3">
      <c r="R31" s="10"/>
      <c r="S31" s="11"/>
      <c r="T31" s="11" t="s">
        <v>42</v>
      </c>
      <c r="U31" s="13" t="s">
        <v>37</v>
      </c>
      <c r="V31" s="77">
        <f>Y32*10^6/I5/(W32-W31)</f>
        <v>945.368033501024</v>
      </c>
      <c r="W31" s="11">
        <f>273+I7</f>
        <v>298</v>
      </c>
      <c r="X31" s="11">
        <f>'Dati impianto INPUT'!D21</f>
        <v>1</v>
      </c>
      <c r="Y31" s="12"/>
    </row>
    <row r="32" spans="1:39" ht="15" thickBot="1" x14ac:dyDescent="0.35">
      <c r="R32" s="3"/>
      <c r="S32" s="4"/>
      <c r="T32" s="4"/>
      <c r="U32" s="4" t="s">
        <v>38</v>
      </c>
      <c r="V32" s="4"/>
      <c r="W32" s="4">
        <f>W31+I9</f>
        <v>308</v>
      </c>
      <c r="X32" s="4"/>
      <c r="Y32" s="15">
        <f>Y30</f>
        <v>39.57310588235287</v>
      </c>
    </row>
    <row r="39" spans="1:29" x14ac:dyDescent="0.3">
      <c r="C39" s="1"/>
      <c r="D39" s="1"/>
      <c r="E39" s="1"/>
    </row>
    <row r="43" spans="1:29" ht="15" thickBot="1" x14ac:dyDescent="0.35"/>
    <row r="44" spans="1:29" ht="15" thickBot="1" x14ac:dyDescent="0.35">
      <c r="X44" s="163" t="s">
        <v>77</v>
      </c>
      <c r="Y44" s="167"/>
      <c r="Z44" s="24">
        <f>N49</f>
        <v>1160</v>
      </c>
      <c r="AA44" s="67" t="s">
        <v>2</v>
      </c>
    </row>
    <row r="46" spans="1:29" ht="15" thickBot="1" x14ac:dyDescent="0.35">
      <c r="D46" s="2" t="s">
        <v>41</v>
      </c>
      <c r="E46" s="2" t="s">
        <v>60</v>
      </c>
      <c r="F46" s="2" t="s">
        <v>55</v>
      </c>
      <c r="G46" s="2" t="s">
        <v>45</v>
      </c>
    </row>
    <row r="47" spans="1:29" ht="15" thickBot="1" x14ac:dyDescent="0.35">
      <c r="A47" s="6" t="s">
        <v>128</v>
      </c>
      <c r="B47" s="7" t="s">
        <v>129</v>
      </c>
      <c r="C47" s="7" t="s">
        <v>37</v>
      </c>
      <c r="D47" s="7">
        <f>B28</f>
        <v>580</v>
      </c>
      <c r="E47" s="29">
        <f>F24</f>
        <v>344.52027734782621</v>
      </c>
      <c r="F47" s="7"/>
      <c r="G47" s="8"/>
      <c r="L47" s="163" t="s">
        <v>108</v>
      </c>
      <c r="M47" s="167"/>
      <c r="N47" s="68">
        <f>N48+N49</f>
        <v>1260.9411764705883</v>
      </c>
      <c r="O47" s="24" t="s">
        <v>2</v>
      </c>
      <c r="Z47" s="2" t="s">
        <v>41</v>
      </c>
      <c r="AA47" s="2" t="s">
        <v>60</v>
      </c>
      <c r="AB47" s="2" t="s">
        <v>55</v>
      </c>
      <c r="AC47" s="2" t="s">
        <v>45</v>
      </c>
    </row>
    <row r="48" spans="1:29" ht="16.2" thickBot="1" x14ac:dyDescent="0.4">
      <c r="A48" s="10"/>
      <c r="B48" s="11"/>
      <c r="C48" s="11" t="s">
        <v>38</v>
      </c>
      <c r="D48" s="11"/>
      <c r="E48" s="11">
        <f>273+40</f>
        <v>313</v>
      </c>
      <c r="F48" s="11"/>
      <c r="G48" s="31">
        <f>D47*'Dati impianto INPUT'!J12*(E47-E48)*10^-6</f>
        <v>20.10993694791312</v>
      </c>
      <c r="L48" s="163" t="s">
        <v>50</v>
      </c>
      <c r="M48" s="167"/>
      <c r="N48" s="23">
        <f>A4*B29</f>
        <v>100.94117647058823</v>
      </c>
      <c r="O48" s="24" t="s">
        <v>2</v>
      </c>
      <c r="V48" s="165" t="s">
        <v>57</v>
      </c>
      <c r="W48" s="166"/>
      <c r="X48" s="7" t="s">
        <v>39</v>
      </c>
      <c r="Y48" s="7" t="s">
        <v>37</v>
      </c>
      <c r="Z48" s="18">
        <f>N47</f>
        <v>1260.9411764705883</v>
      </c>
      <c r="AA48" s="7">
        <f>E48</f>
        <v>313</v>
      </c>
      <c r="AB48" s="7">
        <f>T54</f>
        <v>2</v>
      </c>
      <c r="AC48" s="8"/>
    </row>
    <row r="49" spans="1:37" ht="15" thickBot="1" x14ac:dyDescent="0.35">
      <c r="A49" s="10"/>
      <c r="B49" s="11" t="s">
        <v>42</v>
      </c>
      <c r="C49" s="11" t="s">
        <v>37</v>
      </c>
      <c r="D49" s="77">
        <f>G50*10^6/I5/(E50-E49)</f>
        <v>480.40938719333781</v>
      </c>
      <c r="E49" s="70">
        <f>I7+273</f>
        <v>298</v>
      </c>
      <c r="F49" s="11"/>
      <c r="G49" s="12"/>
      <c r="L49" s="163" t="s">
        <v>53</v>
      </c>
      <c r="M49" s="167"/>
      <c r="N49" s="110">
        <f>E7*B28</f>
        <v>1160</v>
      </c>
      <c r="O49" s="24" t="s">
        <v>2</v>
      </c>
      <c r="V49" s="10"/>
      <c r="W49" s="11"/>
      <c r="X49" s="11"/>
      <c r="Y49" s="11" t="s">
        <v>38</v>
      </c>
      <c r="Z49" s="11"/>
      <c r="AA49" s="11">
        <f>AA50-15</f>
        <v>368</v>
      </c>
      <c r="AB49" s="11"/>
      <c r="AC49" s="14">
        <f>Z48*E13*(AA49-AA48)*10^-6</f>
        <v>231.63489411764704</v>
      </c>
    </row>
    <row r="50" spans="1:37" ht="15" thickBot="1" x14ac:dyDescent="0.35">
      <c r="A50" s="3"/>
      <c r="B50" s="4"/>
      <c r="C50" s="4" t="s">
        <v>38</v>
      </c>
      <c r="D50" s="4"/>
      <c r="E50" s="90">
        <f>E49+I9</f>
        <v>308</v>
      </c>
      <c r="F50" s="19"/>
      <c r="G50" s="30">
        <f>G48</f>
        <v>20.10993694791312</v>
      </c>
      <c r="V50" s="10"/>
      <c r="W50" s="11"/>
      <c r="X50" s="11" t="s">
        <v>40</v>
      </c>
      <c r="Y50" s="11" t="s">
        <v>37</v>
      </c>
      <c r="Z50" s="70">
        <f>N49</f>
        <v>1160</v>
      </c>
      <c r="AA50" s="11">
        <f>110+273</f>
        <v>383</v>
      </c>
      <c r="AB50" s="11">
        <f>AJ51</f>
        <v>1.8</v>
      </c>
      <c r="AC50" s="12"/>
      <c r="AH50" s="2" t="s">
        <v>41</v>
      </c>
      <c r="AI50" s="2" t="s">
        <v>60</v>
      </c>
      <c r="AJ50" s="2" t="s">
        <v>55</v>
      </c>
      <c r="AK50" s="2" t="s">
        <v>45</v>
      </c>
    </row>
    <row r="51" spans="1:37" ht="15" thickBot="1" x14ac:dyDescent="0.35">
      <c r="C51" s="9"/>
      <c r="D51" s="80"/>
      <c r="E51" s="80"/>
      <c r="V51" s="3"/>
      <c r="W51" s="4"/>
      <c r="X51" s="4"/>
      <c r="Y51" s="4" t="s">
        <v>38</v>
      </c>
      <c r="Z51" s="4"/>
      <c r="AA51" s="19">
        <f>(Z50*E13*AA50-AC51*10^6)/Z50/E13</f>
        <v>323.21399594320485</v>
      </c>
      <c r="AB51" s="4"/>
      <c r="AC51" s="15">
        <f>AC49</f>
        <v>231.63489411764704</v>
      </c>
      <c r="AE51" s="6" t="s">
        <v>59</v>
      </c>
      <c r="AF51" s="7" t="s">
        <v>40</v>
      </c>
      <c r="AG51" s="7" t="s">
        <v>38</v>
      </c>
      <c r="AH51" s="29">
        <f>N49</f>
        <v>1160</v>
      </c>
      <c r="AI51" s="7">
        <f>AA50</f>
        <v>383</v>
      </c>
      <c r="AJ51" s="7">
        <f>1.8</f>
        <v>1.8</v>
      </c>
      <c r="AK51" s="20">
        <f>A7*B29</f>
        <v>358.90196078431376</v>
      </c>
    </row>
    <row r="52" spans="1:37" ht="15" thickBot="1" x14ac:dyDescent="0.35">
      <c r="C52" s="25"/>
      <c r="D52" s="92"/>
      <c r="E52" s="92"/>
      <c r="R52" s="2" t="s">
        <v>41</v>
      </c>
      <c r="S52" s="2" t="s">
        <v>60</v>
      </c>
      <c r="T52" s="2" t="s">
        <v>55</v>
      </c>
      <c r="U52" s="2" t="s">
        <v>45</v>
      </c>
      <c r="AE52" s="3"/>
      <c r="AF52" s="4" t="s">
        <v>44</v>
      </c>
      <c r="AG52" s="4" t="s">
        <v>37</v>
      </c>
      <c r="AH52" s="16">
        <f>E9*B29</f>
        <v>168.23529411764707</v>
      </c>
      <c r="AI52" s="4">
        <f>273+140</f>
        <v>413</v>
      </c>
      <c r="AJ52" s="4">
        <f>AG56*10^-2</f>
        <v>3</v>
      </c>
      <c r="AK52" s="5"/>
    </row>
    <row r="53" spans="1:37" x14ac:dyDescent="0.3">
      <c r="C53" s="11"/>
      <c r="F53" s="11"/>
      <c r="N53" s="165" t="s">
        <v>56</v>
      </c>
      <c r="O53" s="166"/>
      <c r="P53" s="7" t="s">
        <v>39</v>
      </c>
      <c r="Q53" s="7" t="s">
        <v>37</v>
      </c>
      <c r="R53" s="18">
        <f>N47</f>
        <v>1260.9411764705883</v>
      </c>
      <c r="S53" s="7">
        <f>E48</f>
        <v>313</v>
      </c>
      <c r="T53" s="7">
        <f>1.1</f>
        <v>1.1000000000000001</v>
      </c>
      <c r="U53" s="8"/>
    </row>
    <row r="54" spans="1:37" ht="15" thickBot="1" x14ac:dyDescent="0.35">
      <c r="A54" s="100" t="s">
        <v>132</v>
      </c>
      <c r="C54" s="11"/>
      <c r="N54" s="3"/>
      <c r="O54" s="4"/>
      <c r="P54" s="4"/>
      <c r="Q54" s="4" t="s">
        <v>38</v>
      </c>
      <c r="R54" s="4"/>
      <c r="S54" s="4"/>
      <c r="T54" s="4">
        <f>2</f>
        <v>2</v>
      </c>
      <c r="U54" s="115">
        <f>R53/E15*(T54-T53)*10^5/A9/1000000</f>
        <v>0.12189025807951638</v>
      </c>
    </row>
    <row r="55" spans="1:37" ht="16.2" thickBot="1" x14ac:dyDescent="0.4">
      <c r="A55" s="163" t="s">
        <v>112</v>
      </c>
      <c r="B55" s="167"/>
      <c r="C55" s="112">
        <f>U54+AE58+AD11+H24</f>
        <v>123.64378898966456</v>
      </c>
      <c r="G55" s="71"/>
      <c r="AE55" s="39" t="s">
        <v>34</v>
      </c>
      <c r="AF55" s="50" t="s">
        <v>35</v>
      </c>
      <c r="AG55" s="50" t="s">
        <v>33</v>
      </c>
      <c r="AH55" s="40" t="s">
        <v>36</v>
      </c>
    </row>
    <row r="56" spans="1:37" ht="16.2" thickBot="1" x14ac:dyDescent="0.4">
      <c r="A56" s="165" t="s">
        <v>113</v>
      </c>
      <c r="B56" s="194"/>
      <c r="C56" s="113">
        <f>'Dati impianto INPUT'!D4-C55</f>
        <v>376.35621101033541</v>
      </c>
      <c r="AE56" s="39">
        <f>AK24</f>
        <v>313</v>
      </c>
      <c r="AF56" s="50">
        <f>AI51</f>
        <v>383</v>
      </c>
      <c r="AG56" s="50">
        <v>300</v>
      </c>
      <c r="AH56" s="69">
        <f>(0.7855+1.485*AG56*10^-4)</f>
        <v>0.83004999999999995</v>
      </c>
    </row>
    <row r="57" spans="1:37" ht="16.2" thickBot="1" x14ac:dyDescent="0.4">
      <c r="A57" s="163" t="s">
        <v>114</v>
      </c>
      <c r="B57" s="167"/>
      <c r="C57" s="114">
        <f>C55/'Dati impianto INPUT'!D4*100</f>
        <v>24.728757797932914</v>
      </c>
      <c r="AE57" s="50" t="s">
        <v>67</v>
      </c>
      <c r="AF57" s="50"/>
      <c r="AG57" s="50"/>
      <c r="AH57" s="9"/>
    </row>
    <row r="58" spans="1:37" x14ac:dyDescent="0.3">
      <c r="A58" s="11"/>
      <c r="B58" s="25"/>
      <c r="C58" s="11"/>
      <c r="AE58" s="171">
        <f>AH56*AK51*(1-AE56/(AF56+10))</f>
        <v>60.642559297510374</v>
      </c>
      <c r="AF58" s="171"/>
      <c r="AG58" s="171"/>
    </row>
    <row r="59" spans="1:37" x14ac:dyDescent="0.3">
      <c r="A59" s="11"/>
      <c r="B59" s="11"/>
      <c r="C59" s="11"/>
    </row>
    <row r="60" spans="1:37" x14ac:dyDescent="0.3">
      <c r="A60" s="11"/>
      <c r="B60" s="25"/>
      <c r="C60" s="11"/>
    </row>
  </sheetData>
  <mergeCells count="53">
    <mergeCell ref="N2:V2"/>
    <mergeCell ref="N3:V3"/>
    <mergeCell ref="N4:V4"/>
    <mergeCell ref="N5:V5"/>
    <mergeCell ref="N6:V6"/>
    <mergeCell ref="AE58:AG58"/>
    <mergeCell ref="A6:C6"/>
    <mergeCell ref="A7:C7"/>
    <mergeCell ref="A57:B57"/>
    <mergeCell ref="N53:O53"/>
    <mergeCell ref="V48:W48"/>
    <mergeCell ref="R29:S29"/>
    <mergeCell ref="G30:H30"/>
    <mergeCell ref="A10:C10"/>
    <mergeCell ref="X44:Y44"/>
    <mergeCell ref="I15:K15"/>
    <mergeCell ref="G29:H29"/>
    <mergeCell ref="E11:G11"/>
    <mergeCell ref="E15:G15"/>
    <mergeCell ref="M29:N29"/>
    <mergeCell ref="L47:M47"/>
    <mergeCell ref="A3:B3"/>
    <mergeCell ref="A4:B4"/>
    <mergeCell ref="I3:K3"/>
    <mergeCell ref="I4:K4"/>
    <mergeCell ref="I5:K5"/>
    <mergeCell ref="E3:G3"/>
    <mergeCell ref="L48:M48"/>
    <mergeCell ref="L49:M49"/>
    <mergeCell ref="A11:C11"/>
    <mergeCell ref="A8:C8"/>
    <mergeCell ref="A9:C9"/>
    <mergeCell ref="E10:G10"/>
    <mergeCell ref="B23:C23"/>
    <mergeCell ref="I6:K6"/>
    <mergeCell ref="E13:G13"/>
    <mergeCell ref="E12:G12"/>
    <mergeCell ref="X10:Y10"/>
    <mergeCell ref="I11:K11"/>
    <mergeCell ref="I12:K12"/>
    <mergeCell ref="I13:K13"/>
    <mergeCell ref="E6:G6"/>
    <mergeCell ref="E7:G7"/>
    <mergeCell ref="E8:G8"/>
    <mergeCell ref="E9:G9"/>
    <mergeCell ref="N7:V7"/>
    <mergeCell ref="A55:B55"/>
    <mergeCell ref="A56:B56"/>
    <mergeCell ref="I7:K7"/>
    <mergeCell ref="I8:K8"/>
    <mergeCell ref="I9:K9"/>
    <mergeCell ref="I14:K14"/>
    <mergeCell ref="E14:G14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C89A2-BB49-4259-9DCF-5AAF732D4D62}">
  <dimension ref="A1:AS70"/>
  <sheetViews>
    <sheetView zoomScale="70" zoomScaleNormal="70" workbookViewId="0">
      <selection activeCell="AE56" sqref="AE56"/>
    </sheetView>
  </sheetViews>
  <sheetFormatPr defaultRowHeight="14.4" x14ac:dyDescent="0.3"/>
  <cols>
    <col min="2" max="2" width="19.44140625" customWidth="1"/>
    <col min="3" max="3" width="14" customWidth="1"/>
    <col min="4" max="4" width="12.5546875" customWidth="1"/>
    <col min="5" max="5" width="21.6640625" customWidth="1"/>
    <col min="6" max="6" width="14.88671875" customWidth="1"/>
    <col min="7" max="7" width="15.44140625" customWidth="1"/>
    <col min="8" max="8" width="16.6640625" customWidth="1"/>
    <col min="9" max="9" width="17.33203125" customWidth="1"/>
    <col min="10" max="10" width="16.33203125" customWidth="1"/>
    <col min="11" max="11" width="10.33203125" customWidth="1"/>
    <col min="12" max="12" width="12.77734375" customWidth="1"/>
    <col min="13" max="13" width="19.33203125" customWidth="1"/>
    <col min="14" max="14" width="15" customWidth="1"/>
    <col min="15" max="15" width="14.88671875" customWidth="1"/>
    <col min="16" max="16" width="15.109375" customWidth="1"/>
    <col min="17" max="17" width="19.5546875" customWidth="1"/>
    <col min="18" max="18" width="12.88671875" customWidth="1"/>
    <col min="19" max="19" width="11.77734375" customWidth="1"/>
    <col min="20" max="20" width="10.88671875" customWidth="1"/>
    <col min="22" max="22" width="10.77734375" customWidth="1"/>
    <col min="24" max="24" width="15.77734375" customWidth="1"/>
    <col min="25" max="25" width="14.77734375" customWidth="1"/>
    <col min="26" max="26" width="19.77734375" customWidth="1"/>
    <col min="27" max="27" width="12.6640625" customWidth="1"/>
    <col min="28" max="28" width="14.33203125" customWidth="1"/>
    <col min="29" max="30" width="14.44140625" customWidth="1"/>
    <col min="31" max="31" width="13.109375" customWidth="1"/>
    <col min="32" max="32" width="9.77734375" customWidth="1"/>
    <col min="33" max="33" width="10" customWidth="1"/>
    <col min="44" max="44" width="12.5546875" customWidth="1"/>
  </cols>
  <sheetData>
    <row r="1" spans="1:44" ht="15" thickBot="1" x14ac:dyDescent="0.35">
      <c r="A1" s="198" t="s">
        <v>179</v>
      </c>
      <c r="B1" s="198"/>
      <c r="Q1" s="44" t="s">
        <v>13</v>
      </c>
    </row>
    <row r="2" spans="1:44" ht="15.6" x14ac:dyDescent="0.35">
      <c r="E2" s="193" t="s">
        <v>71</v>
      </c>
      <c r="F2" s="193"/>
      <c r="G2" s="193"/>
      <c r="I2" s="184" t="s">
        <v>78</v>
      </c>
      <c r="J2" s="185"/>
      <c r="K2" s="186"/>
      <c r="M2" s="201" t="s">
        <v>148</v>
      </c>
      <c r="N2" s="201"/>
      <c r="O2" s="201"/>
      <c r="Q2" s="42" t="s">
        <v>14</v>
      </c>
      <c r="R2" s="188" t="s">
        <v>175</v>
      </c>
      <c r="S2" s="188"/>
      <c r="T2" s="188"/>
      <c r="U2" s="188"/>
      <c r="V2" s="188"/>
      <c r="W2" s="188"/>
      <c r="X2" s="188"/>
      <c r="Y2" s="189"/>
    </row>
    <row r="3" spans="1:44" ht="15.6" x14ac:dyDescent="0.35">
      <c r="A3" s="158" t="s">
        <v>65</v>
      </c>
      <c r="B3" s="158"/>
      <c r="C3" s="158"/>
      <c r="E3" s="187" t="s">
        <v>49</v>
      </c>
      <c r="F3" s="188"/>
      <c r="G3" s="189"/>
      <c r="I3" s="187" t="s">
        <v>81</v>
      </c>
      <c r="J3" s="188"/>
      <c r="K3" s="189"/>
      <c r="M3" s="35" t="s">
        <v>122</v>
      </c>
      <c r="N3" s="41">
        <f>'Dati impianto INPUT'!D10*44+'Dati impianto INPUT'!D11*28+'Dati impianto INPUT'!D12*32</f>
        <v>28.32</v>
      </c>
      <c r="O3" s="52" t="s">
        <v>8</v>
      </c>
      <c r="Q3" s="34"/>
      <c r="R3" s="176" t="s">
        <v>176</v>
      </c>
      <c r="S3" s="176"/>
      <c r="T3" s="176"/>
      <c r="U3" s="176"/>
      <c r="V3" s="176"/>
      <c r="W3" s="176"/>
      <c r="X3" s="176"/>
      <c r="Y3" s="177"/>
    </row>
    <row r="4" spans="1:44" ht="16.8" x14ac:dyDescent="0.35">
      <c r="A4" s="158">
        <f>0.9</f>
        <v>0.9</v>
      </c>
      <c r="B4" s="158"/>
      <c r="C4" s="158"/>
      <c r="E4" s="168">
        <v>4186</v>
      </c>
      <c r="F4" s="169"/>
      <c r="G4" s="170"/>
      <c r="I4" s="168">
        <v>846</v>
      </c>
      <c r="J4" s="169"/>
      <c r="K4" s="170"/>
      <c r="M4" s="42" t="s">
        <v>9</v>
      </c>
      <c r="N4" s="51">
        <f>'Dati impianto INPUT'!J9</f>
        <v>1.3197108949763541</v>
      </c>
      <c r="O4" s="53" t="s">
        <v>10</v>
      </c>
      <c r="Q4" s="35" t="s">
        <v>16</v>
      </c>
      <c r="R4" s="188" t="s">
        <v>177</v>
      </c>
      <c r="S4" s="188"/>
      <c r="T4" s="188"/>
      <c r="U4" s="188"/>
      <c r="V4" s="188"/>
      <c r="W4" s="188"/>
      <c r="X4" s="188"/>
      <c r="Y4" s="189"/>
    </row>
    <row r="5" spans="1:44" ht="16.8" x14ac:dyDescent="0.35">
      <c r="A5" s="158" t="s">
        <v>164</v>
      </c>
      <c r="B5" s="158"/>
      <c r="C5" s="158"/>
      <c r="E5" s="172" t="s">
        <v>43</v>
      </c>
      <c r="F5" s="173"/>
      <c r="G5" s="174"/>
      <c r="I5" s="172" t="s">
        <v>80</v>
      </c>
      <c r="J5" s="173"/>
      <c r="K5" s="174"/>
      <c r="M5" s="42" t="s">
        <v>11</v>
      </c>
      <c r="N5" s="51">
        <f>'Dati impianto INPUT'!J10</f>
        <v>1.1510577454586091</v>
      </c>
      <c r="O5" s="53" t="s">
        <v>10</v>
      </c>
      <c r="Q5" s="34"/>
      <c r="R5" s="176" t="s">
        <v>178</v>
      </c>
      <c r="S5" s="176"/>
      <c r="T5" s="176"/>
      <c r="U5" s="176"/>
      <c r="V5" s="176"/>
      <c r="W5" s="176"/>
      <c r="X5" s="176"/>
      <c r="Y5" s="177"/>
    </row>
    <row r="6" spans="1:44" x14ac:dyDescent="0.3">
      <c r="A6" s="158">
        <v>292.83</v>
      </c>
      <c r="B6" s="158"/>
      <c r="C6" s="158"/>
      <c r="E6" s="180">
        <f>'Dati impianto INPUT'!D22</f>
        <v>25</v>
      </c>
      <c r="F6" s="180"/>
      <c r="G6" s="180"/>
      <c r="I6" s="168">
        <v>1.31</v>
      </c>
      <c r="J6" s="169"/>
      <c r="K6" s="170"/>
      <c r="M6" s="125" t="s">
        <v>130</v>
      </c>
      <c r="N6" s="43">
        <v>1100</v>
      </c>
      <c r="O6" s="126" t="s">
        <v>131</v>
      </c>
    </row>
    <row r="7" spans="1:44" ht="15.6" x14ac:dyDescent="0.35">
      <c r="A7" s="187" t="s">
        <v>73</v>
      </c>
      <c r="B7" s="188"/>
      <c r="C7" s="189"/>
      <c r="E7" s="172" t="s">
        <v>32</v>
      </c>
      <c r="F7" s="173"/>
      <c r="G7" s="174"/>
      <c r="I7" s="42" t="s">
        <v>7</v>
      </c>
      <c r="J7" s="11">
        <v>44</v>
      </c>
      <c r="K7" s="53" t="s">
        <v>8</v>
      </c>
    </row>
    <row r="8" spans="1:44" ht="16.8" x14ac:dyDescent="0.35">
      <c r="A8" s="180">
        <f>'Dati impianto INPUT'!D19</f>
        <v>0.92</v>
      </c>
      <c r="B8" s="180"/>
      <c r="C8" s="180"/>
      <c r="E8" s="180">
        <f>'Dati impianto INPUT'!D23</f>
        <v>10</v>
      </c>
      <c r="F8" s="180"/>
      <c r="G8" s="180"/>
      <c r="I8" s="34" t="s">
        <v>12</v>
      </c>
      <c r="J8" s="146">
        <f>J7*10^-3/(0.022414)*273/(273+'Dati impianto INPUT'!D8)</f>
        <v>1.7121886680249765</v>
      </c>
      <c r="K8" s="54" t="s">
        <v>10</v>
      </c>
    </row>
    <row r="9" spans="1:44" x14ac:dyDescent="0.3">
      <c r="A9" s="158" t="s">
        <v>79</v>
      </c>
      <c r="B9" s="158"/>
      <c r="C9" s="158"/>
      <c r="E9" s="117"/>
      <c r="F9" s="117"/>
      <c r="G9" s="117"/>
      <c r="M9" s="149"/>
    </row>
    <row r="10" spans="1:44" x14ac:dyDescent="0.3">
      <c r="A10" s="158">
        <f>'Dati impianto INPUT'!D16</f>
        <v>150</v>
      </c>
      <c r="B10" s="158"/>
      <c r="C10" s="158"/>
      <c r="G10" s="117"/>
      <c r="H10" s="117"/>
      <c r="I10" s="117"/>
      <c r="R10" s="33"/>
      <c r="AJ10" s="13"/>
      <c r="AK10" s="13"/>
      <c r="AL10" s="13"/>
      <c r="AM10" s="13"/>
      <c r="AN10" s="13"/>
      <c r="AO10" s="13"/>
      <c r="AP10" s="13"/>
      <c r="AQ10" s="13"/>
      <c r="AR10" s="13"/>
    </row>
    <row r="11" spans="1:44" x14ac:dyDescent="0.3">
      <c r="A11" s="158" t="s">
        <v>150</v>
      </c>
      <c r="B11" s="158"/>
      <c r="C11" s="158"/>
      <c r="G11" s="117"/>
      <c r="H11" s="117"/>
      <c r="I11" s="117"/>
      <c r="AJ11" s="155"/>
      <c r="AK11" s="155"/>
      <c r="AL11" s="13"/>
      <c r="AM11" s="13"/>
      <c r="AN11" s="13"/>
      <c r="AO11" s="13"/>
      <c r="AP11" s="13"/>
      <c r="AQ11" s="13"/>
      <c r="AR11" s="13"/>
    </row>
    <row r="12" spans="1:44" ht="15" thickBot="1" x14ac:dyDescent="0.35">
      <c r="A12" s="199">
        <f>'Dati impianto INPUT'!D5/150</f>
        <v>3.8666666666666667</v>
      </c>
      <c r="B12" s="199"/>
      <c r="C12" s="199"/>
      <c r="G12" s="117"/>
      <c r="H12" s="117"/>
      <c r="I12" s="117"/>
      <c r="AJ12" s="13"/>
      <c r="AK12" s="13"/>
      <c r="AL12" s="13"/>
      <c r="AM12" s="13"/>
      <c r="AN12" s="153"/>
      <c r="AO12" s="13"/>
      <c r="AP12" s="153"/>
      <c r="AQ12" s="13"/>
      <c r="AR12" s="13"/>
    </row>
    <row r="13" spans="1:44" ht="15" thickBot="1" x14ac:dyDescent="0.35">
      <c r="B13" s="11"/>
      <c r="X13" s="119" t="s">
        <v>146</v>
      </c>
      <c r="Y13" s="127">
        <f>R27-AA29</f>
        <v>4096.0451977401126</v>
      </c>
      <c r="Z13" s="120" t="s">
        <v>139</v>
      </c>
      <c r="AJ13" s="13"/>
      <c r="AK13" s="13"/>
      <c r="AL13" s="13"/>
      <c r="AM13" s="13"/>
      <c r="AN13" s="154"/>
      <c r="AO13" s="148"/>
      <c r="AP13" s="148"/>
      <c r="AQ13" s="13"/>
      <c r="AR13" s="13"/>
    </row>
    <row r="14" spans="1:44" ht="16.2" thickBot="1" x14ac:dyDescent="0.4">
      <c r="A14" s="163" t="s">
        <v>186</v>
      </c>
      <c r="B14" s="167"/>
      <c r="X14" s="119" t="s">
        <v>147</v>
      </c>
      <c r="Y14" s="127">
        <f>Y13*Y15</f>
        <v>1761.2994350282484</v>
      </c>
      <c r="Z14" s="120" t="s">
        <v>139</v>
      </c>
    </row>
    <row r="15" spans="1:44" ht="16.2" thickBot="1" x14ac:dyDescent="0.4">
      <c r="A15" s="165" t="s">
        <v>184</v>
      </c>
      <c r="B15" s="200"/>
      <c r="X15" s="24" t="s">
        <v>140</v>
      </c>
      <c r="Y15" s="24">
        <v>0.43</v>
      </c>
    </row>
    <row r="16" spans="1:44" x14ac:dyDescent="0.3">
      <c r="A16" s="10">
        <v>1700</v>
      </c>
      <c r="B16" s="151" t="s">
        <v>182</v>
      </c>
      <c r="G16" s="17"/>
      <c r="H16" s="124"/>
      <c r="I16" s="11"/>
    </row>
    <row r="17" spans="1:33" ht="15.6" x14ac:dyDescent="0.35">
      <c r="A17" s="187" t="s">
        <v>183</v>
      </c>
      <c r="B17" s="189"/>
      <c r="I17" s="11"/>
      <c r="J17" s="11"/>
      <c r="AD17" s="150"/>
      <c r="AE17" s="150"/>
      <c r="AF17" s="11"/>
      <c r="AG17" s="11"/>
    </row>
    <row r="18" spans="1:33" ht="15" thickBot="1" x14ac:dyDescent="0.35">
      <c r="A18" s="175">
        <v>50</v>
      </c>
      <c r="B18" s="177"/>
      <c r="AD18" s="11"/>
      <c r="AE18" s="11"/>
      <c r="AF18" s="11"/>
      <c r="AG18" s="11"/>
    </row>
    <row r="19" spans="1:33" ht="15" thickBot="1" x14ac:dyDescent="0.35">
      <c r="A19" s="187" t="s">
        <v>185</v>
      </c>
      <c r="B19" s="189"/>
      <c r="K19" s="149"/>
      <c r="Q19" s="119" t="s">
        <v>143</v>
      </c>
      <c r="R19" s="127">
        <f>Q53-Z51</f>
        <v>461.99951980792315</v>
      </c>
      <c r="S19" s="86" t="s">
        <v>2</v>
      </c>
      <c r="T19" s="127">
        <f>Q54-AB51</f>
        <v>17779.145556527696</v>
      </c>
      <c r="U19" s="120" t="s">
        <v>139</v>
      </c>
      <c r="AD19" s="11"/>
      <c r="AE19" s="11"/>
      <c r="AF19" s="11"/>
      <c r="AG19" s="11"/>
    </row>
    <row r="20" spans="1:33" ht="16.2" thickBot="1" x14ac:dyDescent="0.4">
      <c r="A20" s="175">
        <f>O62/O40</f>
        <v>10</v>
      </c>
      <c r="B20" s="177"/>
      <c r="I20" s="33"/>
      <c r="Q20" s="119" t="s">
        <v>141</v>
      </c>
      <c r="R20" s="127">
        <f>Q55-Z52</f>
        <v>12.941176470588232</v>
      </c>
      <c r="S20" s="86" t="s">
        <v>2</v>
      </c>
      <c r="T20" s="127">
        <f>Q56-AB52</f>
        <v>294.11764705882342</v>
      </c>
      <c r="U20" s="120" t="s">
        <v>139</v>
      </c>
      <c r="AD20" s="11"/>
      <c r="AE20" s="11"/>
      <c r="AF20" s="152"/>
      <c r="AG20" s="11"/>
    </row>
    <row r="21" spans="1:33" ht="16.2" thickBot="1" x14ac:dyDescent="0.4">
      <c r="E21" s="24" t="s">
        <v>140</v>
      </c>
      <c r="F21" s="23">
        <f>F23/F22</f>
        <v>0.191342123056119</v>
      </c>
      <c r="Q21" s="123" t="s">
        <v>140</v>
      </c>
      <c r="R21" s="121">
        <f>T20/T19</f>
        <v>1.6542844881026173E-2</v>
      </c>
      <c r="AF21" s="150"/>
    </row>
    <row r="22" spans="1:33" ht="15" thickBot="1" x14ac:dyDescent="0.35">
      <c r="A22" s="39"/>
      <c r="B22" s="39" t="s">
        <v>158</v>
      </c>
      <c r="E22" s="119" t="s">
        <v>145</v>
      </c>
      <c r="F22" s="127">
        <f>1.2*Q54</f>
        <v>24576.271186440677</v>
      </c>
      <c r="G22" s="129" t="s">
        <v>139</v>
      </c>
      <c r="H22" s="33"/>
      <c r="K22" s="149"/>
      <c r="T22" s="149"/>
    </row>
    <row r="23" spans="1:33" ht="16.2" thickBot="1" x14ac:dyDescent="0.4">
      <c r="A23" s="39"/>
      <c r="B23" s="39" t="s">
        <v>156</v>
      </c>
      <c r="E23" s="119" t="s">
        <v>147</v>
      </c>
      <c r="F23" s="127">
        <f>Q56+Y14</f>
        <v>4702.4759056164839</v>
      </c>
      <c r="G23" s="129" t="s">
        <v>139</v>
      </c>
      <c r="H23" s="33"/>
      <c r="N23" s="33"/>
      <c r="AF23" s="149"/>
    </row>
    <row r="24" spans="1:33" ht="16.8" thickBot="1" x14ac:dyDescent="0.35">
      <c r="A24" s="39"/>
      <c r="B24" s="39" t="s">
        <v>157</v>
      </c>
      <c r="I24" s="163" t="s">
        <v>168</v>
      </c>
      <c r="J24" s="164"/>
      <c r="K24" s="136">
        <f>0.95*A6*F23</f>
        <v>1308174.7184695911</v>
      </c>
      <c r="L24" s="22" t="s">
        <v>166</v>
      </c>
      <c r="R24" s="163" t="s">
        <v>187</v>
      </c>
      <c r="S24" s="164"/>
      <c r="T24" s="136">
        <f>0.05*A6*F23</f>
        <v>68851.300972083758</v>
      </c>
      <c r="U24" s="120" t="s">
        <v>166</v>
      </c>
    </row>
    <row r="26" spans="1:33" ht="15" thickBot="1" x14ac:dyDescent="0.35"/>
    <row r="27" spans="1:33" ht="15" thickBot="1" x14ac:dyDescent="0.35">
      <c r="P27" s="163" t="s">
        <v>151</v>
      </c>
      <c r="Q27" s="164"/>
      <c r="R27" s="23">
        <f>M29</f>
        <v>6797.1256299129818</v>
      </c>
      <c r="S27" s="120" t="s">
        <v>139</v>
      </c>
    </row>
    <row r="28" spans="1:33" ht="16.2" thickBot="1" x14ac:dyDescent="0.4">
      <c r="P28" s="163" t="s">
        <v>147</v>
      </c>
      <c r="Q28" s="167"/>
      <c r="R28" s="23">
        <f>M30</f>
        <v>4408.3582585576605</v>
      </c>
      <c r="S28" s="120" t="s">
        <v>139</v>
      </c>
    </row>
    <row r="29" spans="1:33" ht="16.2" thickBot="1" x14ac:dyDescent="0.4">
      <c r="K29" s="163" t="s">
        <v>153</v>
      </c>
      <c r="L29" s="164"/>
      <c r="M29" s="127">
        <f>F22-T19</f>
        <v>6797.1256299129818</v>
      </c>
      <c r="N29" s="120" t="s">
        <v>139</v>
      </c>
      <c r="P29" s="24" t="s">
        <v>140</v>
      </c>
      <c r="Q29" s="23">
        <f>R28/R27</f>
        <v>0.64856212737296381</v>
      </c>
      <c r="Y29" s="163" t="s">
        <v>152</v>
      </c>
      <c r="Z29" s="167"/>
      <c r="AA29" s="127">
        <f>AB51</f>
        <v>2701.0804321728692</v>
      </c>
      <c r="AB29" s="120" t="s">
        <v>139</v>
      </c>
    </row>
    <row r="30" spans="1:33" ht="16.2" thickBot="1" x14ac:dyDescent="0.4">
      <c r="K30" s="163" t="s">
        <v>147</v>
      </c>
      <c r="L30" s="167"/>
      <c r="M30" s="127">
        <f>F23-T20</f>
        <v>4408.3582585576605</v>
      </c>
      <c r="N30" s="120" t="s">
        <v>139</v>
      </c>
      <c r="Y30" s="163" t="s">
        <v>147</v>
      </c>
      <c r="Z30" s="167"/>
      <c r="AA30" s="127">
        <f>AB52</f>
        <v>2647.0588235294117</v>
      </c>
      <c r="AB30" s="120" t="s">
        <v>139</v>
      </c>
    </row>
    <row r="31" spans="1:33" ht="16.2" thickBot="1" x14ac:dyDescent="0.4">
      <c r="E31" s="2"/>
      <c r="F31" s="11"/>
      <c r="G31" s="11"/>
      <c r="H31" s="145"/>
      <c r="L31" s="24" t="s">
        <v>140</v>
      </c>
      <c r="M31" s="23">
        <f>M30/M29</f>
        <v>0.64856212737296381</v>
      </c>
      <c r="Z31" s="24" t="s">
        <v>140</v>
      </c>
      <c r="AA31" s="23">
        <f>AA30/AA29</f>
        <v>0.98</v>
      </c>
    </row>
    <row r="32" spans="1:33" x14ac:dyDescent="0.3">
      <c r="F32" s="11"/>
      <c r="G32" s="11"/>
      <c r="H32" s="145"/>
    </row>
    <row r="34" spans="3:45" x14ac:dyDescent="0.3">
      <c r="Y34" s="11"/>
      <c r="Z34" s="11"/>
      <c r="AA34" s="49"/>
    </row>
    <row r="35" spans="3:45" ht="15" thickBot="1" x14ac:dyDescent="0.35">
      <c r="AA35" s="2" t="s">
        <v>41</v>
      </c>
      <c r="AB35" s="2" t="s">
        <v>55</v>
      </c>
      <c r="AC35" s="2" t="s">
        <v>45</v>
      </c>
    </row>
    <row r="36" spans="3:45" ht="15" thickBot="1" x14ac:dyDescent="0.35">
      <c r="D36" s="11"/>
      <c r="E36" s="116" t="s">
        <v>41</v>
      </c>
      <c r="F36" s="116" t="s">
        <v>60</v>
      </c>
      <c r="G36" s="116" t="s">
        <v>55</v>
      </c>
      <c r="H36" s="116" t="s">
        <v>45</v>
      </c>
      <c r="Y36" s="6" t="s">
        <v>161</v>
      </c>
      <c r="Z36" s="7" t="s">
        <v>37</v>
      </c>
      <c r="AA36" s="21">
        <f>Z51</f>
        <v>118.00048019207684</v>
      </c>
      <c r="AB36" s="7">
        <f>G38</f>
        <v>2</v>
      </c>
      <c r="AC36" s="8"/>
    </row>
    <row r="37" spans="3:45" ht="15" thickBot="1" x14ac:dyDescent="0.35">
      <c r="C37" s="6" t="s">
        <v>149</v>
      </c>
      <c r="D37" s="59" t="s">
        <v>37</v>
      </c>
      <c r="E37" s="144">
        <f>N39</f>
        <v>261.61765533331982</v>
      </c>
      <c r="F37" s="97">
        <f>F61</f>
        <v>313</v>
      </c>
      <c r="G37" s="59">
        <f>O40</f>
        <v>0.2</v>
      </c>
      <c r="H37" s="61"/>
      <c r="L37" s="11"/>
      <c r="N37" s="49"/>
      <c r="Y37" s="3"/>
      <c r="Z37" s="4" t="s">
        <v>38</v>
      </c>
      <c r="AA37" s="4"/>
      <c r="AB37" s="4">
        <v>0.35</v>
      </c>
      <c r="AC37" s="138">
        <f>AA36/(N5*(1-AA31)+J8*AA31)*(O62-AB37)*10^5/A8*10^-6</f>
        <v>12.441829515039725</v>
      </c>
    </row>
    <row r="38" spans="3:45" ht="15" thickBot="1" x14ac:dyDescent="0.35">
      <c r="C38" s="3"/>
      <c r="D38" s="63" t="s">
        <v>38</v>
      </c>
      <c r="E38" s="147"/>
      <c r="F38" s="90">
        <f>(O40/G38)^((1-I6)/I6)*0.73*N61</f>
        <v>394.01106569515258</v>
      </c>
      <c r="G38" s="63">
        <f>O62</f>
        <v>2</v>
      </c>
      <c r="H38" s="138">
        <f>M29*(N3*(1-M31)+J7*M31)/1000*(F38-N61)*(N6*(1-M31)+I4*M31)*10^-6</f>
        <v>19.821940979439567</v>
      </c>
      <c r="N38" s="2" t="s">
        <v>41</v>
      </c>
      <c r="O38" s="2" t="s">
        <v>55</v>
      </c>
      <c r="P38" s="2" t="s">
        <v>45</v>
      </c>
      <c r="Y38" s="13"/>
      <c r="Z38" s="93"/>
      <c r="AA38" s="148"/>
      <c r="AB38" s="148"/>
    </row>
    <row r="39" spans="3:45" x14ac:dyDescent="0.3">
      <c r="L39" s="6" t="s">
        <v>159</v>
      </c>
      <c r="M39" s="7" t="s">
        <v>37</v>
      </c>
      <c r="N39" s="21">
        <f>(M29*N3*(1-M31)+M29*J7*M31)/1000</f>
        <v>261.61765533331982</v>
      </c>
      <c r="O39" s="7">
        <f>O62</f>
        <v>2</v>
      </c>
      <c r="P39" s="8"/>
      <c r="Y39" s="13"/>
      <c r="Z39" s="93"/>
      <c r="AA39" s="148"/>
      <c r="AB39" s="148"/>
    </row>
    <row r="40" spans="3:45" ht="15" thickBot="1" x14ac:dyDescent="0.35">
      <c r="L40" s="3"/>
      <c r="M40" s="4" t="s">
        <v>38</v>
      </c>
      <c r="N40" s="4"/>
      <c r="O40" s="4">
        <v>0.2</v>
      </c>
      <c r="P40" s="138">
        <f>N39/(N5*(1-M31)+J8*M31)*(O62-O40)*10^5/A8*10^-6</f>
        <v>33.786492185988074</v>
      </c>
      <c r="AB40" s="33"/>
    </row>
    <row r="42" spans="3:45" x14ac:dyDescent="0.3">
      <c r="C42" s="11"/>
      <c r="D42" s="11"/>
      <c r="E42" s="142"/>
    </row>
    <row r="43" spans="3:45" x14ac:dyDescent="0.3">
      <c r="C43" s="11"/>
      <c r="D43" s="11"/>
      <c r="E43" s="143"/>
      <c r="Z43" s="33"/>
      <c r="AA43" s="33"/>
    </row>
    <row r="47" spans="3:45" x14ac:dyDescent="0.3"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</row>
    <row r="48" spans="3:45" ht="15" thickBot="1" x14ac:dyDescent="0.35">
      <c r="C48" s="11"/>
      <c r="D48" s="116" t="s">
        <v>41</v>
      </c>
      <c r="E48" s="116" t="s">
        <v>60</v>
      </c>
      <c r="F48" s="116" t="s">
        <v>55</v>
      </c>
      <c r="G48" s="116" t="s">
        <v>45</v>
      </c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</row>
    <row r="49" spans="1:45" x14ac:dyDescent="0.3">
      <c r="B49" s="6" t="s">
        <v>155</v>
      </c>
      <c r="C49" s="59" t="s">
        <v>37</v>
      </c>
      <c r="D49" s="97">
        <f>E37</f>
        <v>261.61765533331982</v>
      </c>
      <c r="E49" s="97">
        <f>F38</f>
        <v>394.01106569515258</v>
      </c>
      <c r="F49" s="59">
        <f>O62</f>
        <v>2</v>
      </c>
      <c r="G49" s="6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</row>
    <row r="50" spans="1:45" ht="15" thickBot="1" x14ac:dyDescent="0.35">
      <c r="B50" s="10"/>
      <c r="C50" s="13" t="s">
        <v>38</v>
      </c>
      <c r="D50" s="93"/>
      <c r="E50" s="139">
        <f>F61</f>
        <v>313</v>
      </c>
      <c r="F50" s="13"/>
      <c r="G50" s="31">
        <f>H38</f>
        <v>19.821940979439567</v>
      </c>
    </row>
    <row r="51" spans="1:45" ht="15" thickBot="1" x14ac:dyDescent="0.35">
      <c r="B51" s="10"/>
      <c r="C51" s="13" t="s">
        <v>180</v>
      </c>
      <c r="D51" s="130">
        <f>G50*10^6/E4/((E52)-(E51))</f>
        <v>473.52940705780145</v>
      </c>
      <c r="E51" s="11">
        <f>E6+273</f>
        <v>298</v>
      </c>
      <c r="F51" s="11">
        <f>G62</f>
        <v>1</v>
      </c>
      <c r="G51" s="12"/>
      <c r="I51" s="33"/>
      <c r="J51" s="33"/>
      <c r="Y51" s="119" t="s">
        <v>144</v>
      </c>
      <c r="Z51" s="127">
        <f>(AB51-AB52)*N3/1000+Z52</f>
        <v>118.00048019207684</v>
      </c>
      <c r="AA51" s="129" t="s">
        <v>2</v>
      </c>
      <c r="AB51" s="128">
        <f>AB52/Z53</f>
        <v>2701.0804321728692</v>
      </c>
      <c r="AC51" s="120" t="s">
        <v>139</v>
      </c>
    </row>
    <row r="52" spans="1:45" ht="16.2" thickBot="1" x14ac:dyDescent="0.4">
      <c r="B52" s="3"/>
      <c r="C52" s="63" t="s">
        <v>181</v>
      </c>
      <c r="D52" s="4"/>
      <c r="E52" s="4">
        <f>E51+E8</f>
        <v>308</v>
      </c>
      <c r="F52" s="4"/>
      <c r="G52" s="30">
        <f>G50</f>
        <v>19.821940979439567</v>
      </c>
      <c r="Y52" s="119" t="s">
        <v>142</v>
      </c>
      <c r="Z52" s="127">
        <f>AB52*J7/1000</f>
        <v>116.47058823529412</v>
      </c>
      <c r="AA52" s="129" t="s">
        <v>2</v>
      </c>
      <c r="AB52" s="127">
        <f>A4*Q56</f>
        <v>2647.0588235294117</v>
      </c>
      <c r="AC52" s="120" t="s">
        <v>139</v>
      </c>
    </row>
    <row r="53" spans="1:45" ht="16.2" thickBot="1" x14ac:dyDescent="0.4">
      <c r="O53" s="163" t="s">
        <v>75</v>
      </c>
      <c r="P53" s="164"/>
      <c r="Q53" s="101">
        <f>'Dati impianto INPUT'!D5</f>
        <v>580</v>
      </c>
      <c r="R53" s="86" t="s">
        <v>2</v>
      </c>
      <c r="Y53" s="24" t="s">
        <v>140</v>
      </c>
      <c r="Z53" s="24">
        <v>0.98</v>
      </c>
    </row>
    <row r="54" spans="1:45" ht="15" thickBot="1" x14ac:dyDescent="0.35">
      <c r="Q54" s="127">
        <f>Q53*1000/N3</f>
        <v>20480.225988700564</v>
      </c>
      <c r="R54" s="122" t="s">
        <v>139</v>
      </c>
      <c r="AB54" s="2" t="s">
        <v>41</v>
      </c>
      <c r="AC54" s="2" t="s">
        <v>60</v>
      </c>
      <c r="AD54" s="2" t="s">
        <v>55</v>
      </c>
      <c r="AE54" s="2" t="s">
        <v>45</v>
      </c>
    </row>
    <row r="55" spans="1:45" ht="16.2" thickBot="1" x14ac:dyDescent="0.4">
      <c r="O55" s="163" t="s">
        <v>69</v>
      </c>
      <c r="P55" s="167"/>
      <c r="Q55" s="131">
        <f>'Dati impianto INPUT'!F5*('Dati impianto INPUT'!D9+2)*'Dati impianto INPUT'!J11/100</f>
        <v>129.41176470588235</v>
      </c>
      <c r="R55" s="86" t="s">
        <v>2</v>
      </c>
      <c r="Y55" s="165" t="s">
        <v>163</v>
      </c>
      <c r="Z55" s="166"/>
      <c r="AA55" s="7" t="s">
        <v>37</v>
      </c>
      <c r="AB55" s="132">
        <f>Z51</f>
        <v>118.00048019207684</v>
      </c>
      <c r="AC55" s="102">
        <f>N61</f>
        <v>313</v>
      </c>
      <c r="AD55" s="7">
        <f>1</f>
        <v>1</v>
      </c>
      <c r="AE55" s="8"/>
    </row>
    <row r="56" spans="1:45" ht="15" thickBot="1" x14ac:dyDescent="0.35">
      <c r="Q56" s="127">
        <f>Q55*1000/J7</f>
        <v>2941.1764705882351</v>
      </c>
      <c r="R56" s="122" t="s">
        <v>139</v>
      </c>
      <c r="Y56" s="3"/>
      <c r="Z56" s="4"/>
      <c r="AA56" s="4" t="s">
        <v>38</v>
      </c>
      <c r="AB56" s="4"/>
      <c r="AC56" s="4"/>
      <c r="AD56" s="103">
        <f>'Dati impianto INPUT'!D16</f>
        <v>150</v>
      </c>
      <c r="AE56" s="107">
        <f>AB55*I4*AC55*0.9*(A10^((I6-1)/I6)-1)*10^-6-R19*N6*(N61-((O62)^((1-I6)/I6)*N61))*10^-6</f>
        <v>39.858258848225596</v>
      </c>
    </row>
    <row r="57" spans="1:45" ht="16.2" thickBot="1" x14ac:dyDescent="0.4">
      <c r="Q57" s="24" t="s">
        <v>140</v>
      </c>
      <c r="R57" s="23">
        <f>Q56/Q54</f>
        <v>0.1436105476673428</v>
      </c>
    </row>
    <row r="58" spans="1:45" x14ac:dyDescent="0.3">
      <c r="R58" s="33"/>
    </row>
    <row r="59" spans="1:45" ht="15" thickBot="1" x14ac:dyDescent="0.35">
      <c r="A59" s="11"/>
      <c r="B59" s="11"/>
      <c r="C59" s="11"/>
      <c r="D59" s="11"/>
      <c r="E59" s="116" t="s">
        <v>41</v>
      </c>
      <c r="F59" s="116" t="s">
        <v>60</v>
      </c>
      <c r="G59" s="116" t="s">
        <v>55</v>
      </c>
      <c r="H59" s="116" t="s">
        <v>45</v>
      </c>
      <c r="AG59" s="33"/>
    </row>
    <row r="60" spans="1:45" ht="15" thickBot="1" x14ac:dyDescent="0.35">
      <c r="A60" s="9"/>
      <c r="B60" s="9"/>
      <c r="C60" s="6" t="s">
        <v>154</v>
      </c>
      <c r="D60" s="59" t="s">
        <v>37</v>
      </c>
      <c r="E60" s="97">
        <f>M61</f>
        <v>580</v>
      </c>
      <c r="F60" s="97">
        <f>N62</f>
        <v>368.79110990927927</v>
      </c>
      <c r="G60" s="59">
        <f>O62</f>
        <v>2</v>
      </c>
      <c r="H60" s="61"/>
      <c r="M60" s="2" t="s">
        <v>41</v>
      </c>
      <c r="N60" s="2" t="s">
        <v>60</v>
      </c>
      <c r="O60" s="2" t="s">
        <v>55</v>
      </c>
      <c r="P60" s="2" t="s">
        <v>45</v>
      </c>
      <c r="AG60" s="33"/>
    </row>
    <row r="61" spans="1:45" x14ac:dyDescent="0.3">
      <c r="A61" s="11"/>
      <c r="B61" s="11"/>
      <c r="C61" s="141"/>
      <c r="D61" s="13" t="s">
        <v>38</v>
      </c>
      <c r="E61" s="93"/>
      <c r="F61" s="139">
        <f>N61</f>
        <v>313</v>
      </c>
      <c r="G61" s="13"/>
      <c r="H61" s="31">
        <f>(N62-N61)*Q53*N6*10^-6</f>
        <v>35.594728122120173</v>
      </c>
      <c r="J61" s="178" t="s">
        <v>133</v>
      </c>
      <c r="K61" s="179"/>
      <c r="L61" s="59" t="s">
        <v>37</v>
      </c>
      <c r="M61" s="97">
        <f>Q53</f>
        <v>580</v>
      </c>
      <c r="N61" s="102">
        <f>'Dati impianto INPUT'!D8+273</f>
        <v>313</v>
      </c>
      <c r="O61" s="102">
        <f>'Dati impianto INPUT'!D7</f>
        <v>1</v>
      </c>
      <c r="P61" s="8"/>
    </row>
    <row r="62" spans="1:45" ht="15" thickBot="1" x14ac:dyDescent="0.35">
      <c r="A62" s="11"/>
      <c r="B62" s="11"/>
      <c r="C62" s="141"/>
      <c r="D62" s="13" t="s">
        <v>180</v>
      </c>
      <c r="E62" s="140">
        <f>H61*10^6/E4/((F63)-(F62))</f>
        <v>850.32795322790662</v>
      </c>
      <c r="F62" s="11">
        <f>E6+273</f>
        <v>298</v>
      </c>
      <c r="G62" s="11">
        <f>'Dati impianto INPUT'!D21</f>
        <v>1</v>
      </c>
      <c r="H62" s="12"/>
      <c r="J62" s="62"/>
      <c r="K62" s="63"/>
      <c r="L62" s="63" t="s">
        <v>38</v>
      </c>
      <c r="M62" s="64"/>
      <c r="N62" s="90">
        <f>N61+(((O61/O62)^((1-I6)/I6)*N61)-N61)</f>
        <v>368.79110990927927</v>
      </c>
      <c r="O62" s="63">
        <v>2</v>
      </c>
      <c r="P62" s="107">
        <f>M61*(N62-N61)*'Dati impianto INPUT'!J12*10^-6</f>
        <v>35.594728122120173</v>
      </c>
    </row>
    <row r="63" spans="1:45" ht="15" thickBot="1" x14ac:dyDescent="0.35">
      <c r="A63" s="11"/>
      <c r="B63" s="11"/>
      <c r="C63" s="3"/>
      <c r="D63" s="63" t="s">
        <v>181</v>
      </c>
      <c r="E63" s="4"/>
      <c r="F63" s="4">
        <f>F62+E8</f>
        <v>308</v>
      </c>
      <c r="G63" s="4"/>
      <c r="H63" s="30">
        <f>H61</f>
        <v>35.594728122120173</v>
      </c>
    </row>
    <row r="64" spans="1:45" ht="15" thickBot="1" x14ac:dyDescent="0.35"/>
    <row r="65" spans="1:4" ht="16.8" thickBot="1" x14ac:dyDescent="0.35">
      <c r="A65" s="163" t="s">
        <v>167</v>
      </c>
      <c r="B65" s="167"/>
      <c r="C65" s="136">
        <f>K24+T24</f>
        <v>1377026.0194416749</v>
      </c>
      <c r="D65" s="86" t="s">
        <v>166</v>
      </c>
    </row>
    <row r="66" spans="1:4" ht="15" thickBot="1" x14ac:dyDescent="0.35"/>
    <row r="67" spans="1:4" ht="15" thickBot="1" x14ac:dyDescent="0.35">
      <c r="A67" s="99" t="s">
        <v>132</v>
      </c>
    </row>
    <row r="68" spans="1:4" ht="16.2" thickBot="1" x14ac:dyDescent="0.4">
      <c r="A68" s="163" t="s">
        <v>62</v>
      </c>
      <c r="B68" s="164"/>
      <c r="C68" s="109">
        <f>P62+P40+H38+AC37+AE56</f>
        <v>141.50324965081316</v>
      </c>
      <c r="D68" s="87" t="s">
        <v>1</v>
      </c>
    </row>
    <row r="69" spans="1:4" ht="16.2" thickBot="1" x14ac:dyDescent="0.4">
      <c r="A69" s="163" t="s">
        <v>63</v>
      </c>
      <c r="B69" s="164"/>
      <c r="C69" s="109">
        <f>'Dati impianto INPUT'!D4-'MEMB - separazione della CO2'!C68</f>
        <v>358.49675034918687</v>
      </c>
      <c r="D69" s="89" t="s">
        <v>1</v>
      </c>
    </row>
    <row r="70" spans="1:4" ht="15" thickBot="1" x14ac:dyDescent="0.35">
      <c r="A70" s="163" t="s">
        <v>64</v>
      </c>
      <c r="B70" s="164"/>
      <c r="C70" s="109">
        <f>C68/'Dati impianto INPUT'!D4*100</f>
        <v>28.300649930162631</v>
      </c>
      <c r="D70" s="88" t="s">
        <v>54</v>
      </c>
    </row>
  </sheetData>
  <mergeCells count="50">
    <mergeCell ref="R24:S24"/>
    <mergeCell ref="E8:G8"/>
    <mergeCell ref="R2:Y2"/>
    <mergeCell ref="R3:Y3"/>
    <mergeCell ref="R4:Y4"/>
    <mergeCell ref="R5:Y5"/>
    <mergeCell ref="M2:O2"/>
    <mergeCell ref="E6:G6"/>
    <mergeCell ref="I2:K2"/>
    <mergeCell ref="I3:K3"/>
    <mergeCell ref="I4:K4"/>
    <mergeCell ref="I5:K5"/>
    <mergeCell ref="I6:K6"/>
    <mergeCell ref="Y55:Z55"/>
    <mergeCell ref="J61:K61"/>
    <mergeCell ref="Y29:Z29"/>
    <mergeCell ref="Y30:Z30"/>
    <mergeCell ref="P27:Q27"/>
    <mergeCell ref="P28:Q28"/>
    <mergeCell ref="A68:B68"/>
    <mergeCell ref="A69:B69"/>
    <mergeCell ref="O55:P55"/>
    <mergeCell ref="A70:B70"/>
    <mergeCell ref="A12:C12"/>
    <mergeCell ref="K29:L29"/>
    <mergeCell ref="O53:P53"/>
    <mergeCell ref="A19:B19"/>
    <mergeCell ref="A20:B20"/>
    <mergeCell ref="A65:B65"/>
    <mergeCell ref="I24:J24"/>
    <mergeCell ref="A15:B15"/>
    <mergeCell ref="A17:B17"/>
    <mergeCell ref="A18:B18"/>
    <mergeCell ref="A14:B14"/>
    <mergeCell ref="A1:B1"/>
    <mergeCell ref="K30:L30"/>
    <mergeCell ref="A7:C7"/>
    <mergeCell ref="A8:C8"/>
    <mergeCell ref="A11:C11"/>
    <mergeCell ref="A3:C3"/>
    <mergeCell ref="A4:C4"/>
    <mergeCell ref="E2:G2"/>
    <mergeCell ref="E3:G3"/>
    <mergeCell ref="E4:G4"/>
    <mergeCell ref="E5:G5"/>
    <mergeCell ref="A6:C6"/>
    <mergeCell ref="E7:G7"/>
    <mergeCell ref="A5:C5"/>
    <mergeCell ref="A9:C9"/>
    <mergeCell ref="A10:C10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8B0D3D-673A-483A-911C-E5015D8193DA}">
  <dimension ref="A1:H25"/>
  <sheetViews>
    <sheetView workbookViewId="0">
      <selection activeCell="G29" sqref="G29"/>
    </sheetView>
  </sheetViews>
  <sheetFormatPr defaultRowHeight="14.4" x14ac:dyDescent="0.3"/>
  <cols>
    <col min="3" max="3" width="17.6640625" customWidth="1"/>
    <col min="9" max="9" width="18" customWidth="1"/>
  </cols>
  <sheetData>
    <row r="1" spans="1:7" x14ac:dyDescent="0.3">
      <c r="A1" s="204" t="s">
        <v>102</v>
      </c>
      <c r="B1" s="204"/>
    </row>
    <row r="2" spans="1:7" ht="15" thickBot="1" x14ac:dyDescent="0.35"/>
    <row r="3" spans="1:7" x14ac:dyDescent="0.3">
      <c r="A3" s="36" t="s">
        <v>84</v>
      </c>
    </row>
    <row r="4" spans="1:7" x14ac:dyDescent="0.3">
      <c r="A4" s="158" t="s">
        <v>82</v>
      </c>
      <c r="B4" s="158"/>
      <c r="C4" s="158"/>
      <c r="D4" s="76">
        <f>'MEA - processo di absorbimento'!I53</f>
        <v>1566</v>
      </c>
      <c r="E4" s="46" t="s">
        <v>2</v>
      </c>
    </row>
    <row r="5" spans="1:7" x14ac:dyDescent="0.3">
      <c r="A5" s="158" t="s">
        <v>189</v>
      </c>
      <c r="B5" s="158"/>
      <c r="C5" s="158"/>
      <c r="D5" s="77">
        <f>'MEA - processo di absorbimento'!O28</f>
        <v>67.125882352941176</v>
      </c>
      <c r="E5" s="46" t="s">
        <v>2</v>
      </c>
    </row>
    <row r="6" spans="1:7" ht="15" thickBot="1" x14ac:dyDescent="0.35">
      <c r="E6" s="11"/>
    </row>
    <row r="7" spans="1:7" ht="15.6" x14ac:dyDescent="0.35">
      <c r="A7" s="36" t="s">
        <v>91</v>
      </c>
    </row>
    <row r="8" spans="1:7" ht="15.6" x14ac:dyDescent="0.35">
      <c r="A8" s="158" t="s">
        <v>92</v>
      </c>
      <c r="B8" s="158"/>
      <c r="C8" s="158"/>
      <c r="D8" s="48">
        <f>'MEA - processo di absorbimento'!AA6</f>
        <v>150</v>
      </c>
      <c r="E8" s="46" t="s">
        <v>94</v>
      </c>
    </row>
    <row r="9" spans="1:7" ht="15.6" x14ac:dyDescent="0.35">
      <c r="A9" s="158" t="s">
        <v>93</v>
      </c>
      <c r="B9" s="158"/>
      <c r="C9" s="158"/>
      <c r="D9" s="48">
        <f>'MEA - processo di absorbimento'!Z5-273</f>
        <v>40</v>
      </c>
      <c r="E9" s="46" t="s">
        <v>6</v>
      </c>
    </row>
    <row r="10" spans="1:7" ht="15.6" x14ac:dyDescent="0.35">
      <c r="A10" s="158" t="s">
        <v>101</v>
      </c>
      <c r="B10" s="158"/>
      <c r="C10" s="158"/>
      <c r="D10" s="77">
        <f>'MEA - processo di absorbimento'!Y5</f>
        <v>100.94117647058823</v>
      </c>
      <c r="E10" s="46" t="s">
        <v>2</v>
      </c>
    </row>
    <row r="11" spans="1:7" ht="15" thickBot="1" x14ac:dyDescent="0.35"/>
    <row r="12" spans="1:7" x14ac:dyDescent="0.3">
      <c r="A12" s="36" t="s">
        <v>95</v>
      </c>
    </row>
    <row r="13" spans="1:7" x14ac:dyDescent="0.3">
      <c r="A13" s="158" t="s">
        <v>134</v>
      </c>
      <c r="B13" s="158"/>
      <c r="C13" s="158"/>
      <c r="D13" s="91">
        <f>'MEA - processo di absorbimento'!E47</f>
        <v>480.40938719333781</v>
      </c>
      <c r="E13" s="46" t="s">
        <v>2</v>
      </c>
    </row>
    <row r="14" spans="1:7" x14ac:dyDescent="0.3">
      <c r="A14" s="158" t="s">
        <v>96</v>
      </c>
      <c r="B14" s="158"/>
      <c r="C14" s="158"/>
      <c r="D14" s="77">
        <f>'MEA - processo di absorbimento'!AC28</f>
        <v>5493.6583120204605</v>
      </c>
      <c r="E14" s="46" t="s">
        <v>2</v>
      </c>
      <c r="G14" s="33"/>
    </row>
    <row r="15" spans="1:7" x14ac:dyDescent="0.3">
      <c r="A15" s="158" t="s">
        <v>97</v>
      </c>
      <c r="B15" s="158"/>
      <c r="C15" s="158"/>
      <c r="D15" s="77">
        <f>'MEA - processo di absorbimento'!S35</f>
        <v>1632.062345633894</v>
      </c>
      <c r="E15" s="46" t="s">
        <v>2</v>
      </c>
    </row>
    <row r="16" spans="1:7" x14ac:dyDescent="0.3">
      <c r="A16" s="158" t="s">
        <v>98</v>
      </c>
      <c r="B16" s="158"/>
      <c r="C16" s="158"/>
      <c r="D16" s="77">
        <f>D13+D14+D15</f>
        <v>7606.1300448476923</v>
      </c>
      <c r="E16" s="46" t="s">
        <v>2</v>
      </c>
    </row>
    <row r="17" spans="1:8" ht="15" thickBot="1" x14ac:dyDescent="0.35"/>
    <row r="18" spans="1:8" x14ac:dyDescent="0.3">
      <c r="A18" s="202" t="s">
        <v>86</v>
      </c>
      <c r="B18" s="203"/>
    </row>
    <row r="19" spans="1:8" ht="15.6" x14ac:dyDescent="0.35">
      <c r="A19" s="158" t="s">
        <v>188</v>
      </c>
      <c r="B19" s="158"/>
      <c r="C19" s="158"/>
      <c r="D19" s="77">
        <f>'MEA - processo di absorbimento'!G27</f>
        <v>20.10993694791312</v>
      </c>
      <c r="E19" s="46" t="s">
        <v>90</v>
      </c>
    </row>
    <row r="20" spans="1:8" ht="15.6" x14ac:dyDescent="0.35">
      <c r="A20" s="158" t="s">
        <v>83</v>
      </c>
      <c r="B20" s="158"/>
      <c r="C20" s="158"/>
      <c r="D20" s="77">
        <f>'MEA - processo di absorbimento'!AB6</f>
        <v>47.521558317957286</v>
      </c>
      <c r="E20" s="46" t="s">
        <v>90</v>
      </c>
      <c r="H20" s="33"/>
    </row>
    <row r="21" spans="1:8" x14ac:dyDescent="0.3">
      <c r="A21" s="158" t="s">
        <v>87</v>
      </c>
      <c r="B21" s="158"/>
      <c r="C21" s="158"/>
      <c r="D21" s="77">
        <f>'MEA - processo di absorbimento'!M59</f>
        <v>0.16933575543179483</v>
      </c>
      <c r="E21" s="46" t="s">
        <v>90</v>
      </c>
      <c r="G21" s="33"/>
    </row>
    <row r="22" spans="1:8" x14ac:dyDescent="0.3">
      <c r="A22" s="158" t="s">
        <v>88</v>
      </c>
      <c r="B22" s="158"/>
      <c r="C22" s="158"/>
      <c r="D22" s="77">
        <f>'MEA - processo di absorbimento'!X61</f>
        <v>84.319515497567437</v>
      </c>
      <c r="E22" s="46" t="s">
        <v>90</v>
      </c>
    </row>
    <row r="23" spans="1:8" x14ac:dyDescent="0.3">
      <c r="A23" s="158" t="s">
        <v>89</v>
      </c>
      <c r="B23" s="158"/>
      <c r="C23" s="158"/>
      <c r="D23" s="77">
        <f>D19+D20+D21+D22</f>
        <v>152.12034651886961</v>
      </c>
      <c r="E23" s="46" t="s">
        <v>90</v>
      </c>
    </row>
    <row r="24" spans="1:8" x14ac:dyDescent="0.3">
      <c r="A24" s="158" t="s">
        <v>136</v>
      </c>
      <c r="B24" s="158"/>
      <c r="C24" s="158"/>
      <c r="D24" s="77">
        <f>'MEA - processo di absorbimento'!C60</f>
        <v>347.87965348113033</v>
      </c>
      <c r="E24" s="46" t="s">
        <v>90</v>
      </c>
    </row>
    <row r="25" spans="1:8" x14ac:dyDescent="0.3">
      <c r="A25" s="158" t="s">
        <v>99</v>
      </c>
      <c r="B25" s="158"/>
      <c r="C25" s="158"/>
      <c r="D25" s="77">
        <f>'MEA - processo di absorbimento'!C61</f>
        <v>30.424069303773933</v>
      </c>
      <c r="E25" s="47" t="s">
        <v>54</v>
      </c>
    </row>
  </sheetData>
  <mergeCells count="18">
    <mergeCell ref="A1:B1"/>
    <mergeCell ref="A4:C4"/>
    <mergeCell ref="A20:C20"/>
    <mergeCell ref="A25:C25"/>
    <mergeCell ref="A5:C5"/>
    <mergeCell ref="A18:B18"/>
    <mergeCell ref="A21:C21"/>
    <mergeCell ref="A23:C23"/>
    <mergeCell ref="A22:C22"/>
    <mergeCell ref="A8:C8"/>
    <mergeCell ref="A24:C24"/>
    <mergeCell ref="A9:C9"/>
    <mergeCell ref="A10:C10"/>
    <mergeCell ref="A14:C14"/>
    <mergeCell ref="A15:C15"/>
    <mergeCell ref="A16:C16"/>
    <mergeCell ref="A13:C13"/>
    <mergeCell ref="A19:C19"/>
  </mergeCells>
  <pageMargins left="0.7" right="0.7" top="0.75" bottom="0.75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02F8AA-0C45-479A-A224-8DBBE5B1E9A1}">
  <dimension ref="A1:M25"/>
  <sheetViews>
    <sheetView workbookViewId="0">
      <selection activeCell="H14" sqref="H14"/>
    </sheetView>
  </sheetViews>
  <sheetFormatPr defaultRowHeight="14.4" x14ac:dyDescent="0.3"/>
  <cols>
    <col min="3" max="3" width="18.109375" customWidth="1"/>
    <col min="4" max="4" width="9.77734375" customWidth="1"/>
  </cols>
  <sheetData>
    <row r="1" spans="1:13" x14ac:dyDescent="0.3">
      <c r="A1" s="204" t="s">
        <v>102</v>
      </c>
      <c r="B1" s="204"/>
    </row>
    <row r="2" spans="1:13" ht="15" thickBot="1" x14ac:dyDescent="0.35">
      <c r="D2" s="75"/>
    </row>
    <row r="3" spans="1:13" x14ac:dyDescent="0.3">
      <c r="A3" s="36" t="s">
        <v>115</v>
      </c>
    </row>
    <row r="4" spans="1:13" x14ac:dyDescent="0.3">
      <c r="A4" s="158" t="s">
        <v>82</v>
      </c>
      <c r="B4" s="158"/>
      <c r="C4" s="158"/>
      <c r="D4" s="76">
        <f>'IL - processo di absorbimento'!N49</f>
        <v>1160</v>
      </c>
      <c r="E4" s="46" t="s">
        <v>2</v>
      </c>
    </row>
    <row r="5" spans="1:13" x14ac:dyDescent="0.3">
      <c r="A5" s="158" t="s">
        <v>189</v>
      </c>
      <c r="B5" s="158"/>
      <c r="C5" s="158"/>
      <c r="D5" s="77">
        <f>'IL - processo di absorbimento'!O29</f>
        <v>36.910823529411765</v>
      </c>
      <c r="E5" s="46" t="s">
        <v>2</v>
      </c>
    </row>
    <row r="6" spans="1:13" ht="15" thickBot="1" x14ac:dyDescent="0.35">
      <c r="E6" s="11"/>
    </row>
    <row r="7" spans="1:13" ht="15.6" x14ac:dyDescent="0.35">
      <c r="A7" s="36" t="s">
        <v>91</v>
      </c>
    </row>
    <row r="8" spans="1:13" ht="15.6" x14ac:dyDescent="0.35">
      <c r="A8" s="158" t="s">
        <v>92</v>
      </c>
      <c r="B8" s="158"/>
      <c r="C8" s="158"/>
      <c r="D8" s="48">
        <f>'IL - processo di absorbimento'!AC11</f>
        <v>150</v>
      </c>
      <c r="E8" s="46" t="s">
        <v>94</v>
      </c>
    </row>
    <row r="9" spans="1:13" ht="15.6" x14ac:dyDescent="0.35">
      <c r="A9" s="158" t="s">
        <v>93</v>
      </c>
      <c r="B9" s="158"/>
      <c r="C9" s="158"/>
      <c r="D9" s="48">
        <f>'IL - processo di absorbimento'!AB10-273</f>
        <v>40</v>
      </c>
      <c r="E9" s="46" t="s">
        <v>6</v>
      </c>
    </row>
    <row r="10" spans="1:13" ht="15.6" x14ac:dyDescent="0.35">
      <c r="A10" s="158" t="s">
        <v>101</v>
      </c>
      <c r="B10" s="158"/>
      <c r="C10" s="158"/>
      <c r="D10" s="77">
        <f>'IL - processo di absorbimento'!AA10</f>
        <v>100.94117647058823</v>
      </c>
      <c r="E10" s="46" t="s">
        <v>2</v>
      </c>
    </row>
    <row r="11" spans="1:13" ht="15" thickBot="1" x14ac:dyDescent="0.35"/>
    <row r="12" spans="1:13" x14ac:dyDescent="0.3">
      <c r="A12" s="36" t="s">
        <v>95</v>
      </c>
      <c r="I12" s="80"/>
      <c r="J12" s="80"/>
      <c r="K12" s="80"/>
      <c r="L12" s="93"/>
      <c r="M12" s="49"/>
    </row>
    <row r="13" spans="1:13" x14ac:dyDescent="0.3">
      <c r="A13" s="158" t="s">
        <v>134</v>
      </c>
      <c r="B13" s="158"/>
      <c r="C13" s="158"/>
      <c r="D13" s="91">
        <f>'IL - processo di absorbimento'!D49</f>
        <v>480.40938719333781</v>
      </c>
      <c r="E13" s="46" t="s">
        <v>2</v>
      </c>
    </row>
    <row r="14" spans="1:13" x14ac:dyDescent="0.3">
      <c r="A14" s="158" t="s">
        <v>96</v>
      </c>
      <c r="B14" s="158"/>
      <c r="C14" s="158"/>
      <c r="D14" s="77">
        <f>'IL - processo di absorbimento'!AJ25</f>
        <v>3521.3574660633481</v>
      </c>
      <c r="E14" s="46" t="s">
        <v>2</v>
      </c>
      <c r="H14" s="33"/>
    </row>
    <row r="15" spans="1:13" x14ac:dyDescent="0.3">
      <c r="A15" s="158" t="s">
        <v>97</v>
      </c>
      <c r="B15" s="158"/>
      <c r="C15" s="158"/>
      <c r="D15" s="77">
        <f>'IL - processo di absorbimento'!V31</f>
        <v>945.368033501024</v>
      </c>
      <c r="E15" s="46" t="s">
        <v>2</v>
      </c>
    </row>
    <row r="16" spans="1:13" x14ac:dyDescent="0.3">
      <c r="A16" s="158" t="s">
        <v>98</v>
      </c>
      <c r="B16" s="158"/>
      <c r="C16" s="158"/>
      <c r="D16" s="77">
        <f>D13+D14+D15</f>
        <v>4947.1348867577099</v>
      </c>
      <c r="E16" s="46" t="s">
        <v>2</v>
      </c>
    </row>
    <row r="17" spans="1:8" ht="15" thickBot="1" x14ac:dyDescent="0.35"/>
    <row r="18" spans="1:8" x14ac:dyDescent="0.3">
      <c r="A18" s="202" t="s">
        <v>86</v>
      </c>
      <c r="B18" s="203"/>
    </row>
    <row r="19" spans="1:8" x14ac:dyDescent="0.3">
      <c r="A19" s="158" t="s">
        <v>188</v>
      </c>
      <c r="B19" s="158"/>
      <c r="C19" s="158"/>
      <c r="D19" s="77">
        <f>'IL - processo di absorbimento'!H24</f>
        <v>20.10993694791312</v>
      </c>
      <c r="E19" s="46" t="s">
        <v>90</v>
      </c>
    </row>
    <row r="20" spans="1:8" ht="15.6" x14ac:dyDescent="0.35">
      <c r="A20" s="158" t="s">
        <v>83</v>
      </c>
      <c r="B20" s="158"/>
      <c r="C20" s="158"/>
      <c r="D20" s="77">
        <f>'IL - processo di absorbimento'!AD11</f>
        <v>42.769402486161553</v>
      </c>
      <c r="E20" s="46" t="s">
        <v>90</v>
      </c>
    </row>
    <row r="21" spans="1:8" x14ac:dyDescent="0.3">
      <c r="A21" s="158" t="s">
        <v>87</v>
      </c>
      <c r="B21" s="158"/>
      <c r="C21" s="158"/>
      <c r="D21" s="77">
        <f>'IL - processo di absorbimento'!U54</f>
        <v>0.12189025807951638</v>
      </c>
      <c r="E21" s="46" t="s">
        <v>90</v>
      </c>
      <c r="G21" s="33"/>
      <c r="H21" s="33"/>
    </row>
    <row r="22" spans="1:8" x14ac:dyDescent="0.3">
      <c r="A22" s="158" t="s">
        <v>88</v>
      </c>
      <c r="B22" s="158"/>
      <c r="C22" s="158"/>
      <c r="D22" s="77">
        <f>'IL - processo di absorbimento'!AE58</f>
        <v>60.642559297510374</v>
      </c>
      <c r="E22" s="46" t="s">
        <v>90</v>
      </c>
      <c r="H22" s="33"/>
    </row>
    <row r="23" spans="1:8" x14ac:dyDescent="0.3">
      <c r="A23" s="158" t="s">
        <v>89</v>
      </c>
      <c r="B23" s="158"/>
      <c r="C23" s="158"/>
      <c r="D23" s="77">
        <f>D19+D20+D21+D22</f>
        <v>123.64378898966456</v>
      </c>
      <c r="E23" s="46" t="s">
        <v>90</v>
      </c>
      <c r="G23" s="33"/>
    </row>
    <row r="24" spans="1:8" x14ac:dyDescent="0.3">
      <c r="A24" s="158" t="s">
        <v>100</v>
      </c>
      <c r="B24" s="158"/>
      <c r="C24" s="158"/>
      <c r="D24" s="77">
        <f>'IL - processo di absorbimento'!C56</f>
        <v>376.35621101033541</v>
      </c>
      <c r="E24" s="46" t="s">
        <v>90</v>
      </c>
    </row>
    <row r="25" spans="1:8" x14ac:dyDescent="0.3">
      <c r="A25" s="158" t="s">
        <v>99</v>
      </c>
      <c r="B25" s="158"/>
      <c r="C25" s="158"/>
      <c r="D25" s="77">
        <f>'IL - processo di absorbimento'!C57</f>
        <v>24.728757797932914</v>
      </c>
      <c r="E25" s="47" t="s">
        <v>54</v>
      </c>
    </row>
  </sheetData>
  <mergeCells count="18">
    <mergeCell ref="A22:C22"/>
    <mergeCell ref="A23:C23"/>
    <mergeCell ref="A24:C24"/>
    <mergeCell ref="A25:C25"/>
    <mergeCell ref="A14:C14"/>
    <mergeCell ref="A15:C15"/>
    <mergeCell ref="A16:C16"/>
    <mergeCell ref="A18:B18"/>
    <mergeCell ref="A20:C20"/>
    <mergeCell ref="A21:C21"/>
    <mergeCell ref="A13:C13"/>
    <mergeCell ref="A19:C19"/>
    <mergeCell ref="A10:C10"/>
    <mergeCell ref="A1:B1"/>
    <mergeCell ref="A4:C4"/>
    <mergeCell ref="A5:C5"/>
    <mergeCell ref="A8:C8"/>
    <mergeCell ref="A9:C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0B4663-1ADA-4746-B74C-84C5A9A79442}">
  <dimension ref="A1:H19"/>
  <sheetViews>
    <sheetView tabSelected="1" workbookViewId="0">
      <selection activeCell="H4" sqref="H4"/>
    </sheetView>
  </sheetViews>
  <sheetFormatPr defaultRowHeight="14.4" x14ac:dyDescent="0.3"/>
  <cols>
    <col min="1" max="1" width="9.88671875" customWidth="1"/>
    <col min="3" max="3" width="18.109375" customWidth="1"/>
    <col min="4" max="4" width="13.21875" bestFit="1" customWidth="1"/>
  </cols>
  <sheetData>
    <row r="1" spans="1:8" x14ac:dyDescent="0.3">
      <c r="A1" s="204" t="s">
        <v>102</v>
      </c>
      <c r="B1" s="204"/>
    </row>
    <row r="2" spans="1:8" ht="15" thickBot="1" x14ac:dyDescent="0.35">
      <c r="A2" s="133"/>
      <c r="B2" s="133"/>
    </row>
    <row r="3" spans="1:8" x14ac:dyDescent="0.3">
      <c r="A3" s="134" t="s">
        <v>165</v>
      </c>
      <c r="B3" s="133"/>
    </row>
    <row r="4" spans="1:8" ht="16.2" x14ac:dyDescent="0.3">
      <c r="A4" s="205" t="s">
        <v>167</v>
      </c>
      <c r="B4" s="206"/>
      <c r="C4" s="206"/>
      <c r="D4" s="135">
        <f>'MEMB - separazione della CO2'!C65</f>
        <v>1377026.0194416749</v>
      </c>
      <c r="E4" s="47" t="s">
        <v>166</v>
      </c>
      <c r="H4" s="156"/>
    </row>
    <row r="5" spans="1:8" ht="15" thickBot="1" x14ac:dyDescent="0.35"/>
    <row r="6" spans="1:8" ht="15.6" x14ac:dyDescent="0.35">
      <c r="A6" s="36" t="s">
        <v>91</v>
      </c>
    </row>
    <row r="7" spans="1:8" ht="15.6" x14ac:dyDescent="0.35">
      <c r="A7" s="158" t="s">
        <v>92</v>
      </c>
      <c r="B7" s="158"/>
      <c r="C7" s="158"/>
      <c r="D7" s="48">
        <f>'Dati impianto INPUT'!D16</f>
        <v>150</v>
      </c>
      <c r="E7" s="46" t="s">
        <v>94</v>
      </c>
    </row>
    <row r="8" spans="1:8" ht="15.6" x14ac:dyDescent="0.35">
      <c r="A8" s="158" t="s">
        <v>93</v>
      </c>
      <c r="B8" s="158"/>
      <c r="C8" s="158"/>
      <c r="D8" s="48">
        <f>'Dati impianto INPUT'!D17</f>
        <v>40</v>
      </c>
      <c r="E8" s="46" t="s">
        <v>6</v>
      </c>
    </row>
    <row r="9" spans="1:8" ht="15.6" x14ac:dyDescent="0.35">
      <c r="A9" s="158" t="s">
        <v>101</v>
      </c>
      <c r="B9" s="158"/>
      <c r="C9" s="158"/>
      <c r="D9" s="130">
        <f>'MEMB - separazione della CO2'!Z51</f>
        <v>118.00048019207684</v>
      </c>
      <c r="E9" s="46" t="s">
        <v>2</v>
      </c>
    </row>
    <row r="10" spans="1:8" ht="15" thickBot="1" x14ac:dyDescent="0.35"/>
    <row r="11" spans="1:8" x14ac:dyDescent="0.3">
      <c r="A11" s="202" t="s">
        <v>86</v>
      </c>
      <c r="B11" s="203"/>
    </row>
    <row r="12" spans="1:8" x14ac:dyDescent="0.3">
      <c r="A12" s="158" t="s">
        <v>190</v>
      </c>
      <c r="B12" s="158"/>
      <c r="C12" s="158"/>
      <c r="D12" s="77">
        <f>'MEMB - separazione della CO2'!P62</f>
        <v>35.594728122120173</v>
      </c>
      <c r="E12" s="46" t="s">
        <v>90</v>
      </c>
    </row>
    <row r="13" spans="1:8" x14ac:dyDescent="0.3">
      <c r="A13" s="160" t="s">
        <v>160</v>
      </c>
      <c r="B13" s="160"/>
      <c r="C13" s="161"/>
      <c r="D13" s="77">
        <f>'MEMB - separazione della CO2'!P40</f>
        <v>33.786492185988074</v>
      </c>
      <c r="E13" s="46" t="s">
        <v>90</v>
      </c>
    </row>
    <row r="14" spans="1:8" x14ac:dyDescent="0.3">
      <c r="A14" s="158" t="s">
        <v>149</v>
      </c>
      <c r="B14" s="158"/>
      <c r="C14" s="158"/>
      <c r="D14" s="77">
        <f>'MEMB - separazione della CO2'!H38</f>
        <v>19.821940979439567</v>
      </c>
      <c r="E14" s="46" t="s">
        <v>90</v>
      </c>
    </row>
    <row r="15" spans="1:8" x14ac:dyDescent="0.3">
      <c r="A15" s="158" t="s">
        <v>162</v>
      </c>
      <c r="B15" s="158"/>
      <c r="C15" s="158"/>
      <c r="D15" s="77">
        <f>'MEMB - separazione della CO2'!AC37</f>
        <v>12.441829515039725</v>
      </c>
      <c r="E15" s="46" t="s">
        <v>90</v>
      </c>
    </row>
    <row r="16" spans="1:8" ht="15.6" x14ac:dyDescent="0.35">
      <c r="A16" s="158" t="s">
        <v>163</v>
      </c>
      <c r="B16" s="158"/>
      <c r="C16" s="158"/>
      <c r="D16" s="77">
        <f>'MEMB - separazione della CO2'!AE56</f>
        <v>39.858258848225596</v>
      </c>
      <c r="E16" s="46" t="s">
        <v>90</v>
      </c>
    </row>
    <row r="17" spans="1:5" x14ac:dyDescent="0.3">
      <c r="A17" s="158" t="s">
        <v>89</v>
      </c>
      <c r="B17" s="158"/>
      <c r="C17" s="158"/>
      <c r="D17" s="77">
        <f>D12+D13+D14+D15+D16</f>
        <v>141.50324965081316</v>
      </c>
      <c r="E17" s="46" t="s">
        <v>90</v>
      </c>
    </row>
    <row r="18" spans="1:5" x14ac:dyDescent="0.3">
      <c r="A18" s="158" t="s">
        <v>136</v>
      </c>
      <c r="B18" s="158"/>
      <c r="C18" s="158"/>
      <c r="D18" s="77">
        <f>'MEMB - separazione della CO2'!C69</f>
        <v>358.49675034918687</v>
      </c>
      <c r="E18" s="46" t="s">
        <v>90</v>
      </c>
    </row>
    <row r="19" spans="1:5" x14ac:dyDescent="0.3">
      <c r="A19" s="158" t="s">
        <v>99</v>
      </c>
      <c r="B19" s="158"/>
      <c r="C19" s="158"/>
      <c r="D19" s="77">
        <f>'MEMB - separazione della CO2'!C70</f>
        <v>28.300649930162631</v>
      </c>
      <c r="E19" s="47" t="s">
        <v>54</v>
      </c>
    </row>
  </sheetData>
  <mergeCells count="14">
    <mergeCell ref="A19:C19"/>
    <mergeCell ref="A11:B11"/>
    <mergeCell ref="A12:C12"/>
    <mergeCell ref="A13:C13"/>
    <mergeCell ref="A14:C14"/>
    <mergeCell ref="A15:C15"/>
    <mergeCell ref="A17:C17"/>
    <mergeCell ref="A18:C18"/>
    <mergeCell ref="A1:B1"/>
    <mergeCell ref="A7:C7"/>
    <mergeCell ref="A8:C8"/>
    <mergeCell ref="A9:C9"/>
    <mergeCell ref="A16:C16"/>
    <mergeCell ref="A4:C4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Dati impianto INPUT</vt:lpstr>
      <vt:lpstr>MEA - processo di absorbimento</vt:lpstr>
      <vt:lpstr>IL - processo di absorbimento</vt:lpstr>
      <vt:lpstr>MEMB - separazione della CO2</vt:lpstr>
      <vt:lpstr>MEA - risultati</vt:lpstr>
      <vt:lpstr>IL - risultati</vt:lpstr>
      <vt:lpstr>MEMB - risultati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</dc:creator>
  <cp:lastModifiedBy>Alberto</cp:lastModifiedBy>
  <cp:lastPrinted>2021-01-10T17:39:06Z</cp:lastPrinted>
  <dcterms:created xsi:type="dcterms:W3CDTF">2020-11-10T15:51:39Z</dcterms:created>
  <dcterms:modified xsi:type="dcterms:W3CDTF">2021-03-01T16:28:39Z</dcterms:modified>
</cp:coreProperties>
</file>