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.xml" ContentType="application/vnd.openxmlformats-officedocument.themeOverrid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3.xml" ContentType="application/vnd.openxmlformats-officedocument.themeOverrid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4.xml" ContentType="application/vnd.openxmlformats-officedocument.themeOverrid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5.xml" ContentType="application/vnd.openxmlformats-officedocument.themeOverrid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6.xml" ContentType="application/vnd.openxmlformats-officedocument.themeOverrid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7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ano\Documents\Paolo\Universidad\Masterarbeit zwei\"/>
    </mc:Choice>
  </mc:AlternateContent>
  <xr:revisionPtr revIDLastSave="0" documentId="13_ncr:1_{59964B25-36E4-4E9F-AC53-9AB0A63170C3}" xr6:coauthVersionLast="45" xr6:coauthVersionMax="45" xr10:uidLastSave="{00000000-0000-0000-0000-000000000000}"/>
  <bookViews>
    <workbookView xWindow="-120" yWindow="-120" windowWidth="20730" windowHeight="11160" tabRatio="668" xr2:uid="{6725AE39-B732-4E0F-A0D9-E912105CF47D}"/>
  </bookViews>
  <sheets>
    <sheet name="Grid.panel_t-1,0" sheetId="20" r:id="rId1"/>
    <sheet name="Sand.panel_t-1,0" sheetId="7" r:id="rId2"/>
    <sheet name="Buckling__t-1,0" sheetId="18" r:id="rId3"/>
    <sheet name="Interf.F&amp;M__CELL-2__t-1,0" sheetId="15" r:id="rId4"/>
    <sheet name="Interf.F&amp;M__CELL-4__t-1,0" sheetId="16" r:id="rId5"/>
    <sheet name="Interf.F&amp;M__CELL-5__t-1,0" sheetId="19" r:id="rId6"/>
    <sheet name="Panel-stress_t-1,0" sheetId="14" r:id="rId7"/>
    <sheet name="w-max_analysis_t-1,0" sheetId="13" r:id="rId8"/>
    <sheet name="Par.analysis_t-1,0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81" i="20" l="1"/>
  <c r="I181" i="20"/>
  <c r="M180" i="20"/>
  <c r="I180" i="20"/>
  <c r="M174" i="20"/>
  <c r="I174" i="20"/>
  <c r="M173" i="20"/>
  <c r="I173" i="20"/>
  <c r="M165" i="20"/>
  <c r="I165" i="20"/>
  <c r="M164" i="20"/>
  <c r="I164" i="20"/>
  <c r="I158" i="20"/>
  <c r="I157" i="20"/>
  <c r="M158" i="20"/>
  <c r="M157" i="20"/>
  <c r="N179" i="20" l="1"/>
  <c r="M179" i="20"/>
  <c r="L179" i="20"/>
  <c r="K179" i="20"/>
  <c r="J179" i="20"/>
  <c r="I179" i="20"/>
  <c r="N172" i="20"/>
  <c r="M172" i="20"/>
  <c r="L172" i="20"/>
  <c r="K172" i="20"/>
  <c r="J172" i="20"/>
  <c r="I172" i="20"/>
  <c r="N163" i="20"/>
  <c r="M163" i="20"/>
  <c r="L163" i="20"/>
  <c r="K163" i="20"/>
  <c r="J163" i="20"/>
  <c r="I163" i="20"/>
  <c r="N156" i="20"/>
  <c r="M156" i="20"/>
  <c r="L156" i="20"/>
  <c r="K156" i="20"/>
  <c r="J156" i="20"/>
  <c r="I156" i="20"/>
  <c r="H138" i="20" l="1"/>
  <c r="I138" i="20" s="1"/>
  <c r="J134" i="20"/>
  <c r="H134" i="20"/>
  <c r="H101" i="20"/>
  <c r="H33" i="20"/>
  <c r="H109" i="20" s="1"/>
  <c r="H29" i="20"/>
  <c r="H27" i="20"/>
  <c r="H25" i="20"/>
  <c r="H23" i="20"/>
  <c r="H21" i="20"/>
  <c r="H19" i="20"/>
  <c r="H17" i="20"/>
  <c r="H15" i="20"/>
  <c r="H35" i="20" l="1"/>
  <c r="H82" i="20" s="1"/>
  <c r="H110" i="20" s="1"/>
  <c r="H107" i="20"/>
  <c r="H34" i="20"/>
  <c r="H113" i="20"/>
  <c r="O54" i="19"/>
  <c r="E54" i="19"/>
  <c r="H81" i="20" l="1"/>
  <c r="H108" i="20" s="1"/>
  <c r="H103" i="20"/>
  <c r="H91" i="20"/>
  <c r="H86" i="20"/>
  <c r="H87" i="20"/>
  <c r="H76" i="20"/>
  <c r="H102" i="20" s="1"/>
  <c r="H128" i="20"/>
  <c r="H129" i="20" s="1"/>
  <c r="O22" i="19"/>
  <c r="E22" i="19"/>
  <c r="O84" i="19"/>
  <c r="E84" i="19"/>
  <c r="V80" i="19"/>
  <c r="U80" i="19"/>
  <c r="T80" i="19"/>
  <c r="S80" i="19"/>
  <c r="R80" i="19"/>
  <c r="Q82" i="19" s="1"/>
  <c r="Q80" i="19"/>
  <c r="L80" i="19"/>
  <c r="K80" i="19"/>
  <c r="J80" i="19"/>
  <c r="I80" i="19"/>
  <c r="H80" i="19"/>
  <c r="G80" i="19"/>
  <c r="V73" i="19"/>
  <c r="U73" i="19"/>
  <c r="T73" i="19"/>
  <c r="S73" i="19"/>
  <c r="R73" i="19"/>
  <c r="Q75" i="19" s="1"/>
  <c r="Q73" i="19"/>
  <c r="L73" i="19"/>
  <c r="K73" i="19"/>
  <c r="J73" i="19"/>
  <c r="I73" i="19"/>
  <c r="H73" i="19"/>
  <c r="G73" i="19"/>
  <c r="V66" i="19"/>
  <c r="U66" i="19"/>
  <c r="T66" i="19"/>
  <c r="S66" i="19"/>
  <c r="R66" i="19"/>
  <c r="Q68" i="19" s="1"/>
  <c r="Q66" i="19"/>
  <c r="L66" i="19"/>
  <c r="K66" i="19"/>
  <c r="J66" i="19"/>
  <c r="I66" i="19"/>
  <c r="H66" i="19"/>
  <c r="G66" i="19"/>
  <c r="V59" i="19"/>
  <c r="U59" i="19"/>
  <c r="T59" i="19"/>
  <c r="S59" i="19"/>
  <c r="R59" i="19"/>
  <c r="Q61" i="19" s="1"/>
  <c r="Q59" i="19"/>
  <c r="L59" i="19"/>
  <c r="K59" i="19"/>
  <c r="J59" i="19"/>
  <c r="I59" i="19"/>
  <c r="H59" i="19"/>
  <c r="G59" i="19"/>
  <c r="E53" i="19"/>
  <c r="V48" i="19"/>
  <c r="U48" i="19"/>
  <c r="T48" i="19"/>
  <c r="S48" i="19"/>
  <c r="R48" i="19"/>
  <c r="Q48" i="19"/>
  <c r="L48" i="19"/>
  <c r="K48" i="19"/>
  <c r="J48" i="19"/>
  <c r="I48" i="19"/>
  <c r="H48" i="19"/>
  <c r="G48" i="19"/>
  <c r="V41" i="19"/>
  <c r="U41" i="19"/>
  <c r="T41" i="19"/>
  <c r="S41" i="19"/>
  <c r="R41" i="19"/>
  <c r="Q41" i="19"/>
  <c r="L41" i="19"/>
  <c r="K41" i="19"/>
  <c r="J41" i="19"/>
  <c r="I41" i="19"/>
  <c r="H41" i="19"/>
  <c r="G41" i="19"/>
  <c r="V34" i="19"/>
  <c r="U34" i="19"/>
  <c r="T34" i="19"/>
  <c r="S34" i="19"/>
  <c r="R34" i="19"/>
  <c r="Q34" i="19"/>
  <c r="L34" i="19"/>
  <c r="K34" i="19"/>
  <c r="J34" i="19"/>
  <c r="I34" i="19"/>
  <c r="H34" i="19"/>
  <c r="G34" i="19"/>
  <c r="V27" i="19"/>
  <c r="U27" i="19"/>
  <c r="T27" i="19"/>
  <c r="S27" i="19"/>
  <c r="R27" i="19"/>
  <c r="Q27" i="19"/>
  <c r="L27" i="19"/>
  <c r="K27" i="19"/>
  <c r="J27" i="19"/>
  <c r="I27" i="19"/>
  <c r="H27" i="19"/>
  <c r="G27" i="19"/>
  <c r="E20" i="19"/>
  <c r="F18" i="19"/>
  <c r="D16" i="19"/>
  <c r="G36" i="19" l="1"/>
  <c r="G43" i="19"/>
  <c r="G50" i="19"/>
  <c r="G29" i="19"/>
  <c r="G61" i="19"/>
  <c r="G68" i="19"/>
  <c r="G75" i="19"/>
  <c r="G82" i="19"/>
  <c r="Q29" i="19"/>
  <c r="Q36" i="19"/>
  <c r="Q43" i="19"/>
  <c r="Q50" i="19"/>
  <c r="H115" i="20"/>
  <c r="H116" i="20"/>
  <c r="Q81" i="19"/>
  <c r="Q74" i="19"/>
  <c r="Q67" i="19"/>
  <c r="Q60" i="19"/>
  <c r="G81" i="19"/>
  <c r="G74" i="19"/>
  <c r="G67" i="19"/>
  <c r="G60" i="19"/>
  <c r="Q42" i="19"/>
  <c r="Q35" i="19"/>
  <c r="Q28" i="19"/>
  <c r="G49" i="19"/>
  <c r="G42" i="19"/>
  <c r="G28" i="19"/>
  <c r="G35" i="19"/>
  <c r="Q49" i="19"/>
  <c r="J32" i="18"/>
  <c r="G36" i="18"/>
  <c r="I128" i="20" l="1"/>
  <c r="I129" i="20" s="1"/>
  <c r="J128" i="20"/>
  <c r="J129" i="20" s="1"/>
  <c r="K37" i="18"/>
  <c r="L37" i="18"/>
  <c r="K32" i="18"/>
  <c r="L32" i="18"/>
  <c r="O27" i="18"/>
  <c r="P27" i="18"/>
  <c r="O37" i="18"/>
  <c r="P37" i="18"/>
  <c r="O32" i="18"/>
  <c r="P32" i="18"/>
  <c r="S37" i="18"/>
  <c r="T37" i="18"/>
  <c r="S32" i="18"/>
  <c r="T32" i="18"/>
  <c r="S27" i="18"/>
  <c r="T27" i="18"/>
  <c r="R27" i="18"/>
  <c r="R32" i="18"/>
  <c r="R37" i="18"/>
  <c r="N37" i="18"/>
  <c r="N32" i="18"/>
  <c r="N27" i="18"/>
  <c r="J27" i="18"/>
  <c r="J37" i="18"/>
  <c r="T41" i="18"/>
  <c r="S41" i="18"/>
  <c r="R41" i="18"/>
  <c r="T39" i="18"/>
  <c r="S39" i="18"/>
  <c r="R39" i="18"/>
  <c r="T36" i="18"/>
  <c r="S36" i="18"/>
  <c r="R36" i="18"/>
  <c r="T34" i="18"/>
  <c r="S34" i="18"/>
  <c r="R34" i="18"/>
  <c r="T31" i="18"/>
  <c r="S31" i="18"/>
  <c r="R31" i="18"/>
  <c r="T29" i="18"/>
  <c r="S29" i="18"/>
  <c r="R29" i="18"/>
  <c r="P41" i="18"/>
  <c r="O41" i="18"/>
  <c r="N41" i="18"/>
  <c r="P39" i="18"/>
  <c r="O39" i="18"/>
  <c r="N39" i="18"/>
  <c r="P36" i="18"/>
  <c r="O36" i="18"/>
  <c r="N36" i="18"/>
  <c r="P34" i="18"/>
  <c r="O34" i="18"/>
  <c r="N34" i="18"/>
  <c r="P31" i="18"/>
  <c r="O31" i="18"/>
  <c r="N31" i="18"/>
  <c r="P29" i="18"/>
  <c r="O29" i="18"/>
  <c r="N29" i="18"/>
  <c r="G37" i="18"/>
  <c r="H37" i="18"/>
  <c r="F37" i="18"/>
  <c r="G32" i="18"/>
  <c r="H32" i="18"/>
  <c r="F32" i="18"/>
  <c r="L41" i="18"/>
  <c r="K41" i="18"/>
  <c r="J41" i="18"/>
  <c r="L39" i="18"/>
  <c r="K39" i="18"/>
  <c r="J39" i="18"/>
  <c r="L36" i="18"/>
  <c r="K36" i="18"/>
  <c r="J36" i="18"/>
  <c r="L34" i="18"/>
  <c r="K34" i="18"/>
  <c r="J34" i="18"/>
  <c r="L31" i="18"/>
  <c r="K31" i="18"/>
  <c r="J31" i="18"/>
  <c r="L29" i="18"/>
  <c r="K29" i="18"/>
  <c r="J29" i="18"/>
  <c r="L27" i="18"/>
  <c r="K27" i="18"/>
  <c r="H41" i="18"/>
  <c r="G41" i="18"/>
  <c r="F41" i="18"/>
  <c r="H39" i="18"/>
  <c r="G39" i="18"/>
  <c r="F39" i="18"/>
  <c r="H36" i="18"/>
  <c r="F36" i="18"/>
  <c r="H34" i="18"/>
  <c r="G34" i="18"/>
  <c r="F34" i="18"/>
  <c r="H31" i="18"/>
  <c r="G31" i="18"/>
  <c r="F31" i="18"/>
  <c r="G29" i="18"/>
  <c r="H29" i="18"/>
  <c r="F29" i="18"/>
  <c r="H18" i="18"/>
  <c r="H19" i="18"/>
  <c r="H20" i="18"/>
  <c r="H17" i="18"/>
  <c r="H27" i="18"/>
  <c r="G27" i="18"/>
  <c r="F27" i="18"/>
  <c r="D18" i="18"/>
  <c r="D17" i="18" l="1"/>
  <c r="F18" i="16" l="1"/>
  <c r="V48" i="16"/>
  <c r="U48" i="16"/>
  <c r="T48" i="16"/>
  <c r="S48" i="16"/>
  <c r="R48" i="16"/>
  <c r="Q50" i="16" s="1"/>
  <c r="Q48" i="16"/>
  <c r="L48" i="16"/>
  <c r="K48" i="16"/>
  <c r="J48" i="16"/>
  <c r="I48" i="16"/>
  <c r="H48" i="16"/>
  <c r="G48" i="16"/>
  <c r="V41" i="16"/>
  <c r="U41" i="16"/>
  <c r="T41" i="16"/>
  <c r="S41" i="16"/>
  <c r="R41" i="16"/>
  <c r="Q43" i="16" s="1"/>
  <c r="Q41" i="16"/>
  <c r="L41" i="16"/>
  <c r="K41" i="16"/>
  <c r="J41" i="16"/>
  <c r="I41" i="16"/>
  <c r="H41" i="16"/>
  <c r="G41" i="16"/>
  <c r="V34" i="16"/>
  <c r="U34" i="16"/>
  <c r="T34" i="16"/>
  <c r="S34" i="16"/>
  <c r="R34" i="16"/>
  <c r="Q36" i="16" s="1"/>
  <c r="Q34" i="16"/>
  <c r="L34" i="16"/>
  <c r="K34" i="16"/>
  <c r="J34" i="16"/>
  <c r="I34" i="16"/>
  <c r="H34" i="16"/>
  <c r="G34" i="16"/>
  <c r="V27" i="16"/>
  <c r="U27" i="16"/>
  <c r="T27" i="16"/>
  <c r="S27" i="16"/>
  <c r="R27" i="16"/>
  <c r="Q29" i="16" s="1"/>
  <c r="Q27" i="16"/>
  <c r="L27" i="16"/>
  <c r="K27" i="16"/>
  <c r="J27" i="16"/>
  <c r="I27" i="16"/>
  <c r="H27" i="16"/>
  <c r="G29" i="16" s="1"/>
  <c r="G27" i="16"/>
  <c r="V58" i="16"/>
  <c r="U58" i="16"/>
  <c r="T58" i="16"/>
  <c r="S58" i="16"/>
  <c r="R58" i="16"/>
  <c r="Q60" i="16" s="1"/>
  <c r="Q58" i="16"/>
  <c r="L58" i="16"/>
  <c r="K58" i="16"/>
  <c r="J58" i="16"/>
  <c r="I58" i="16"/>
  <c r="H58" i="16"/>
  <c r="G60" i="16" s="1"/>
  <c r="G58" i="16"/>
  <c r="V65" i="16"/>
  <c r="U65" i="16"/>
  <c r="T65" i="16"/>
  <c r="S65" i="16"/>
  <c r="R65" i="16"/>
  <c r="Q67" i="16" s="1"/>
  <c r="Q65" i="16"/>
  <c r="L65" i="16"/>
  <c r="K65" i="16"/>
  <c r="J65" i="16"/>
  <c r="I65" i="16"/>
  <c r="H65" i="16"/>
  <c r="G67" i="16" s="1"/>
  <c r="G65" i="16"/>
  <c r="V72" i="16"/>
  <c r="U72" i="16"/>
  <c r="T72" i="16"/>
  <c r="S72" i="16"/>
  <c r="R72" i="16"/>
  <c r="Q74" i="16" s="1"/>
  <c r="Q72" i="16"/>
  <c r="L72" i="16"/>
  <c r="K72" i="16"/>
  <c r="J72" i="16"/>
  <c r="I72" i="16"/>
  <c r="H72" i="16"/>
  <c r="G74" i="16" s="1"/>
  <c r="G72" i="16"/>
  <c r="V79" i="16"/>
  <c r="U79" i="16"/>
  <c r="T79" i="16"/>
  <c r="S79" i="16"/>
  <c r="R79" i="16"/>
  <c r="Q81" i="16" s="1"/>
  <c r="Q79" i="16"/>
  <c r="L79" i="16"/>
  <c r="K79" i="16"/>
  <c r="J79" i="16"/>
  <c r="I79" i="16"/>
  <c r="H79" i="16"/>
  <c r="G81" i="16" s="1"/>
  <c r="G79" i="16"/>
  <c r="V81" i="15"/>
  <c r="U81" i="15"/>
  <c r="T81" i="15"/>
  <c r="S81" i="15"/>
  <c r="R81" i="15"/>
  <c r="Q81" i="15"/>
  <c r="L81" i="15"/>
  <c r="K81" i="15"/>
  <c r="J81" i="15"/>
  <c r="I81" i="15"/>
  <c r="H81" i="15"/>
  <c r="G81" i="15"/>
  <c r="V74" i="15"/>
  <c r="U74" i="15"/>
  <c r="T74" i="15"/>
  <c r="S74" i="15"/>
  <c r="R74" i="15"/>
  <c r="Q74" i="15"/>
  <c r="L74" i="15"/>
  <c r="K74" i="15"/>
  <c r="J74" i="15"/>
  <c r="I74" i="15"/>
  <c r="H74" i="15"/>
  <c r="G74" i="15"/>
  <c r="V67" i="15"/>
  <c r="U67" i="15"/>
  <c r="T67" i="15"/>
  <c r="S67" i="15"/>
  <c r="R67" i="15"/>
  <c r="Q67" i="15"/>
  <c r="L67" i="15"/>
  <c r="K67" i="15"/>
  <c r="J67" i="15"/>
  <c r="I67" i="15"/>
  <c r="H67" i="15"/>
  <c r="G67" i="15"/>
  <c r="V60" i="15"/>
  <c r="U60" i="15"/>
  <c r="T60" i="15"/>
  <c r="S60" i="15"/>
  <c r="R60" i="15"/>
  <c r="Q60" i="15"/>
  <c r="L60" i="15"/>
  <c r="K60" i="15"/>
  <c r="J60" i="15"/>
  <c r="I60" i="15"/>
  <c r="H60" i="15"/>
  <c r="G60" i="15"/>
  <c r="V48" i="15"/>
  <c r="U48" i="15"/>
  <c r="T48" i="15"/>
  <c r="S48" i="15"/>
  <c r="R48" i="15"/>
  <c r="Q48" i="15"/>
  <c r="V41" i="15"/>
  <c r="U41" i="15"/>
  <c r="T41" i="15"/>
  <c r="S41" i="15"/>
  <c r="R41" i="15"/>
  <c r="Q41" i="15"/>
  <c r="V34" i="15"/>
  <c r="U34" i="15"/>
  <c r="T34" i="15"/>
  <c r="S34" i="15"/>
  <c r="R34" i="15"/>
  <c r="Q34" i="15"/>
  <c r="V27" i="15"/>
  <c r="U27" i="15"/>
  <c r="T27" i="15"/>
  <c r="S27" i="15"/>
  <c r="R27" i="15"/>
  <c r="Q27" i="15"/>
  <c r="L27" i="15"/>
  <c r="K27" i="15"/>
  <c r="J27" i="15"/>
  <c r="I27" i="15"/>
  <c r="H27" i="15"/>
  <c r="G27" i="15"/>
  <c r="L34" i="15"/>
  <c r="K34" i="15"/>
  <c r="J34" i="15"/>
  <c r="I34" i="15"/>
  <c r="H34" i="15"/>
  <c r="G34" i="15"/>
  <c r="L41" i="15"/>
  <c r="K41" i="15"/>
  <c r="J41" i="15"/>
  <c r="I41" i="15"/>
  <c r="H41" i="15"/>
  <c r="G41" i="15"/>
  <c r="F18" i="15"/>
  <c r="H48" i="15"/>
  <c r="I48" i="15"/>
  <c r="J48" i="15"/>
  <c r="K48" i="15"/>
  <c r="L48" i="15"/>
  <c r="G48" i="15"/>
  <c r="G28" i="16" l="1"/>
  <c r="Q62" i="15"/>
  <c r="Q69" i="15"/>
  <c r="Q76" i="15"/>
  <c r="Q83" i="15"/>
  <c r="G50" i="15"/>
  <c r="G62" i="15"/>
  <c r="G69" i="15"/>
  <c r="G76" i="15"/>
  <c r="G83" i="15"/>
  <c r="G36" i="16"/>
  <c r="G43" i="16"/>
  <c r="G50" i="16"/>
  <c r="G49" i="15"/>
  <c r="Q80" i="16"/>
  <c r="Q73" i="16"/>
  <c r="Q66" i="16"/>
  <c r="Q59" i="16"/>
  <c r="G80" i="16"/>
  <c r="G73" i="16"/>
  <c r="G66" i="16"/>
  <c r="G59" i="16"/>
  <c r="Q28" i="16"/>
  <c r="Q35" i="16"/>
  <c r="Q42" i="16"/>
  <c r="Q49" i="16"/>
  <c r="G49" i="16"/>
  <c r="G42" i="16"/>
  <c r="G35" i="16"/>
  <c r="Q82" i="15"/>
  <c r="Q75" i="15"/>
  <c r="Q68" i="15"/>
  <c r="Q61" i="15"/>
  <c r="G82" i="15"/>
  <c r="G75" i="15"/>
  <c r="G68" i="15"/>
  <c r="G61" i="15"/>
  <c r="Q29" i="15"/>
  <c r="G43" i="15"/>
  <c r="G29" i="15"/>
  <c r="Q36" i="15"/>
  <c r="Q50" i="15"/>
  <c r="G36" i="15"/>
  <c r="Q43" i="15"/>
  <c r="Q49" i="15"/>
  <c r="Q42" i="15"/>
  <c r="Q35" i="15"/>
  <c r="Q28" i="15"/>
  <c r="G28" i="15"/>
  <c r="G35" i="15"/>
  <c r="G42" i="15"/>
  <c r="D136" i="14"/>
  <c r="D121" i="14"/>
  <c r="D106" i="14"/>
  <c r="D91" i="14"/>
  <c r="D90" i="14"/>
  <c r="O83" i="16" l="1"/>
  <c r="O53" i="16"/>
  <c r="E83" i="16"/>
  <c r="E53" i="16"/>
  <c r="O22" i="16"/>
  <c r="E22" i="16"/>
  <c r="E52" i="16"/>
  <c r="E20" i="16"/>
  <c r="D16" i="16"/>
  <c r="E53" i="15"/>
  <c r="O85" i="15"/>
  <c r="E85" i="15"/>
  <c r="O55" i="15"/>
  <c r="E55" i="15"/>
  <c r="O22" i="15"/>
  <c r="E22" i="15"/>
  <c r="U148" i="14" l="1"/>
  <c r="M148" i="14"/>
  <c r="E148" i="14"/>
  <c r="U147" i="14"/>
  <c r="M147" i="14"/>
  <c r="E147" i="14"/>
  <c r="U146" i="14"/>
  <c r="M146" i="14"/>
  <c r="E146" i="14"/>
  <c r="U145" i="14"/>
  <c r="M145" i="14"/>
  <c r="E145" i="14"/>
  <c r="U144" i="14"/>
  <c r="M144" i="14"/>
  <c r="E144" i="14"/>
  <c r="U143" i="14"/>
  <c r="M143" i="14"/>
  <c r="E143" i="14"/>
  <c r="U142" i="14"/>
  <c r="M142" i="14"/>
  <c r="E142" i="14"/>
  <c r="U141" i="14"/>
  <c r="M141" i="14"/>
  <c r="E141" i="14"/>
  <c r="U133" i="14"/>
  <c r="M133" i="14"/>
  <c r="E133" i="14"/>
  <c r="U132" i="14"/>
  <c r="M132" i="14"/>
  <c r="E132" i="14"/>
  <c r="U131" i="14"/>
  <c r="M131" i="14"/>
  <c r="E131" i="14"/>
  <c r="U130" i="14"/>
  <c r="M130" i="14"/>
  <c r="E130" i="14"/>
  <c r="U129" i="14"/>
  <c r="M129" i="14"/>
  <c r="E129" i="14"/>
  <c r="U128" i="14"/>
  <c r="M128" i="14"/>
  <c r="E128" i="14"/>
  <c r="U127" i="14"/>
  <c r="M127" i="14"/>
  <c r="E127" i="14"/>
  <c r="U126" i="14"/>
  <c r="M126" i="14"/>
  <c r="E126" i="14"/>
  <c r="U118" i="14"/>
  <c r="M118" i="14"/>
  <c r="E118" i="14"/>
  <c r="U117" i="14"/>
  <c r="M117" i="14"/>
  <c r="E117" i="14"/>
  <c r="U116" i="14"/>
  <c r="M116" i="14"/>
  <c r="E116" i="14"/>
  <c r="U115" i="14"/>
  <c r="M115" i="14"/>
  <c r="E115" i="14"/>
  <c r="U114" i="14"/>
  <c r="M114" i="14"/>
  <c r="E114" i="14"/>
  <c r="U113" i="14"/>
  <c r="M113" i="14"/>
  <c r="E113" i="14"/>
  <c r="U112" i="14"/>
  <c r="M112" i="14"/>
  <c r="E112" i="14"/>
  <c r="U111" i="14"/>
  <c r="M111" i="14"/>
  <c r="E111" i="14"/>
  <c r="U103" i="14"/>
  <c r="M103" i="14"/>
  <c r="E103" i="14"/>
  <c r="U102" i="14"/>
  <c r="M102" i="14"/>
  <c r="E102" i="14"/>
  <c r="U101" i="14"/>
  <c r="M101" i="14"/>
  <c r="E101" i="14"/>
  <c r="U100" i="14"/>
  <c r="M100" i="14"/>
  <c r="E100" i="14"/>
  <c r="U99" i="14"/>
  <c r="M99" i="14"/>
  <c r="E99" i="14"/>
  <c r="U98" i="14"/>
  <c r="M98" i="14"/>
  <c r="E98" i="14"/>
  <c r="U97" i="14"/>
  <c r="M97" i="14"/>
  <c r="E97" i="14"/>
  <c r="U96" i="14"/>
  <c r="M96" i="14"/>
  <c r="E96" i="14"/>
  <c r="E20" i="15"/>
  <c r="F16" i="15"/>
  <c r="D57" i="14"/>
  <c r="D42" i="14"/>
  <c r="U69" i="14"/>
  <c r="M69" i="14"/>
  <c r="E69" i="14"/>
  <c r="U68" i="14"/>
  <c r="M68" i="14"/>
  <c r="E68" i="14"/>
  <c r="U67" i="14"/>
  <c r="M67" i="14"/>
  <c r="E67" i="14"/>
  <c r="U66" i="14"/>
  <c r="M66" i="14"/>
  <c r="E66" i="14"/>
  <c r="U65" i="14"/>
  <c r="M65" i="14"/>
  <c r="E65" i="14"/>
  <c r="U64" i="14"/>
  <c r="M64" i="14"/>
  <c r="E64" i="14"/>
  <c r="U63" i="14"/>
  <c r="M63" i="14"/>
  <c r="E63" i="14"/>
  <c r="U62" i="14"/>
  <c r="M62" i="14"/>
  <c r="E62" i="14"/>
  <c r="U54" i="14"/>
  <c r="M54" i="14"/>
  <c r="E54" i="14"/>
  <c r="U53" i="14"/>
  <c r="M53" i="14"/>
  <c r="E53" i="14"/>
  <c r="U52" i="14"/>
  <c r="M52" i="14"/>
  <c r="E52" i="14"/>
  <c r="U51" i="14"/>
  <c r="M51" i="14"/>
  <c r="E51" i="14"/>
  <c r="U50" i="14"/>
  <c r="M50" i="14"/>
  <c r="E50" i="14"/>
  <c r="U49" i="14"/>
  <c r="M49" i="14"/>
  <c r="E49" i="14"/>
  <c r="U48" i="14"/>
  <c r="M48" i="14"/>
  <c r="E48" i="14"/>
  <c r="U47" i="14"/>
  <c r="M47" i="14"/>
  <c r="E47" i="14"/>
  <c r="D27" i="14"/>
  <c r="U39" i="14"/>
  <c r="M39" i="14"/>
  <c r="E39" i="14"/>
  <c r="U38" i="14"/>
  <c r="M38" i="14"/>
  <c r="E38" i="14"/>
  <c r="U37" i="14"/>
  <c r="M37" i="14"/>
  <c r="E37" i="14"/>
  <c r="U36" i="14"/>
  <c r="M36" i="14"/>
  <c r="E36" i="14"/>
  <c r="U35" i="14"/>
  <c r="M35" i="14"/>
  <c r="E35" i="14"/>
  <c r="U34" i="14"/>
  <c r="M34" i="14"/>
  <c r="E34" i="14"/>
  <c r="U33" i="14"/>
  <c r="M33" i="14"/>
  <c r="E33" i="14"/>
  <c r="U32" i="14"/>
  <c r="M32" i="14"/>
  <c r="E32" i="14"/>
  <c r="U24" i="14"/>
  <c r="U23" i="14"/>
  <c r="U22" i="14"/>
  <c r="U21" i="14"/>
  <c r="U20" i="14"/>
  <c r="U19" i="14"/>
  <c r="U18" i="14"/>
  <c r="U17" i="14"/>
  <c r="M24" i="14"/>
  <c r="M23" i="14"/>
  <c r="M22" i="14"/>
  <c r="M21" i="14"/>
  <c r="M20" i="14"/>
  <c r="M19" i="14"/>
  <c r="M18" i="14"/>
  <c r="M17" i="14"/>
  <c r="E24" i="14"/>
  <c r="E23" i="14"/>
  <c r="E22" i="14"/>
  <c r="E21" i="14"/>
  <c r="E19" i="14"/>
  <c r="E20" i="14"/>
  <c r="E18" i="14"/>
  <c r="E17" i="14"/>
  <c r="D12" i="14"/>
  <c r="D11" i="14"/>
  <c r="D210" i="13" l="1"/>
  <c r="D209" i="13"/>
  <c r="D208" i="13"/>
  <c r="E132" i="11" l="1"/>
  <c r="H132" i="11"/>
  <c r="D203" i="13" l="1"/>
  <c r="D202" i="13"/>
  <c r="D201" i="13"/>
  <c r="E123" i="11" l="1"/>
  <c r="H123" i="11"/>
  <c r="E113" i="11"/>
  <c r="H113" i="11"/>
  <c r="E102" i="11"/>
  <c r="H102" i="11"/>
  <c r="E92" i="11"/>
  <c r="H92" i="11"/>
  <c r="E82" i="11"/>
  <c r="H82" i="11"/>
  <c r="E71" i="11"/>
  <c r="H71" i="11"/>
  <c r="E61" i="11"/>
  <c r="H61" i="11"/>
  <c r="E51" i="11"/>
  <c r="H51" i="11"/>
  <c r="E40" i="11"/>
  <c r="H40" i="11"/>
  <c r="E30" i="11"/>
  <c r="H30" i="11"/>
  <c r="E20" i="11"/>
  <c r="H20" i="11"/>
  <c r="E149" i="13"/>
  <c r="F149" i="13" s="1"/>
  <c r="G149" i="13"/>
  <c r="E138" i="13"/>
  <c r="F138" i="13" s="1"/>
  <c r="G138" i="13"/>
  <c r="E127" i="13"/>
  <c r="F127" i="13" s="1"/>
  <c r="G127" i="13"/>
  <c r="E115" i="13"/>
  <c r="F115" i="13" s="1"/>
  <c r="G115" i="13"/>
  <c r="E104" i="13"/>
  <c r="F104" i="13" s="1"/>
  <c r="G104" i="13"/>
  <c r="E93" i="13"/>
  <c r="F93" i="13" s="1"/>
  <c r="G93" i="13"/>
  <c r="E81" i="13"/>
  <c r="F81" i="13" s="1"/>
  <c r="G81" i="13"/>
  <c r="E70" i="13"/>
  <c r="F70" i="13" s="1"/>
  <c r="G70" i="13"/>
  <c r="E59" i="13"/>
  <c r="F59" i="13" s="1"/>
  <c r="G59" i="13"/>
  <c r="E47" i="13"/>
  <c r="F47" i="13" s="1"/>
  <c r="G47" i="13"/>
  <c r="E36" i="13"/>
  <c r="F36" i="13" s="1"/>
  <c r="G36" i="13"/>
  <c r="E25" i="13"/>
  <c r="F25" i="13" s="1"/>
  <c r="G25" i="13"/>
  <c r="N298" i="7"/>
  <c r="M298" i="7"/>
  <c r="L298" i="7"/>
  <c r="J298" i="7"/>
  <c r="I298" i="7"/>
  <c r="H298" i="7"/>
  <c r="N354" i="7"/>
  <c r="M354" i="7"/>
  <c r="L354" i="7"/>
  <c r="J354" i="7"/>
  <c r="I354" i="7"/>
  <c r="H354" i="7"/>
  <c r="N410" i="7"/>
  <c r="M410" i="7"/>
  <c r="L410" i="7"/>
  <c r="J410" i="7"/>
  <c r="I410" i="7"/>
  <c r="H410" i="7"/>
  <c r="M466" i="7"/>
  <c r="N466" i="7"/>
  <c r="L466" i="7"/>
  <c r="I466" i="7"/>
  <c r="J466" i="7"/>
  <c r="H466" i="7"/>
  <c r="K27" i="7" l="1"/>
  <c r="K29" i="7"/>
  <c r="K10" i="7"/>
  <c r="K11" i="7" s="1"/>
  <c r="K19" i="7"/>
  <c r="K21" i="7"/>
  <c r="K23" i="7"/>
  <c r="K25" i="7"/>
  <c r="K17" i="7"/>
  <c r="K15" i="7"/>
  <c r="K12" i="7" l="1"/>
  <c r="I27" i="7"/>
  <c r="J27" i="7"/>
  <c r="H27" i="7"/>
  <c r="G150" i="13"/>
  <c r="E150" i="13"/>
  <c r="F150" i="13" s="1"/>
  <c r="G148" i="13"/>
  <c r="E148" i="13"/>
  <c r="F148" i="13" s="1"/>
  <c r="G147" i="13"/>
  <c r="E147" i="13"/>
  <c r="F147" i="13" s="1"/>
  <c r="G146" i="13"/>
  <c r="E146" i="13"/>
  <c r="F146" i="13" s="1"/>
  <c r="G145" i="13"/>
  <c r="E145" i="13"/>
  <c r="F145" i="13" s="1"/>
  <c r="G144" i="13"/>
  <c r="E144" i="13"/>
  <c r="F144" i="13" s="1"/>
  <c r="G143" i="13"/>
  <c r="E143" i="13"/>
  <c r="F143" i="13" s="1"/>
  <c r="G139" i="13"/>
  <c r="E139" i="13"/>
  <c r="F139" i="13" s="1"/>
  <c r="G137" i="13"/>
  <c r="E137" i="13"/>
  <c r="F137" i="13" s="1"/>
  <c r="G136" i="13"/>
  <c r="E136" i="13"/>
  <c r="F136" i="13" s="1"/>
  <c r="G135" i="13"/>
  <c r="E135" i="13"/>
  <c r="F135" i="13" s="1"/>
  <c r="G134" i="13"/>
  <c r="E134" i="13"/>
  <c r="F134" i="13" s="1"/>
  <c r="G133" i="13"/>
  <c r="E133" i="13"/>
  <c r="F133" i="13" s="1"/>
  <c r="G132" i="13"/>
  <c r="E132" i="13"/>
  <c r="F132" i="13" s="1"/>
  <c r="G128" i="13"/>
  <c r="E128" i="13"/>
  <c r="F128" i="13" s="1"/>
  <c r="G126" i="13"/>
  <c r="E126" i="13"/>
  <c r="F126" i="13" s="1"/>
  <c r="G125" i="13"/>
  <c r="E125" i="13"/>
  <c r="F125" i="13" s="1"/>
  <c r="G124" i="13"/>
  <c r="E124" i="13"/>
  <c r="F124" i="13" s="1"/>
  <c r="G123" i="13"/>
  <c r="E123" i="13"/>
  <c r="F123" i="13" s="1"/>
  <c r="G122" i="13"/>
  <c r="E122" i="13"/>
  <c r="F122" i="13" s="1"/>
  <c r="G121" i="13"/>
  <c r="E121" i="13"/>
  <c r="F121" i="13" s="1"/>
  <c r="D119" i="13"/>
  <c r="G116" i="13"/>
  <c r="E116" i="13"/>
  <c r="F116" i="13" s="1"/>
  <c r="G114" i="13"/>
  <c r="E114" i="13"/>
  <c r="F114" i="13" s="1"/>
  <c r="G113" i="13"/>
  <c r="E113" i="13"/>
  <c r="F113" i="13" s="1"/>
  <c r="G112" i="13"/>
  <c r="E112" i="13"/>
  <c r="F112" i="13" s="1"/>
  <c r="G111" i="13"/>
  <c r="E111" i="13"/>
  <c r="F111" i="13" s="1"/>
  <c r="G110" i="13"/>
  <c r="E110" i="13"/>
  <c r="F110" i="13" s="1"/>
  <c r="G109" i="13"/>
  <c r="E109" i="13"/>
  <c r="F109" i="13" s="1"/>
  <c r="G105" i="13"/>
  <c r="E105" i="13"/>
  <c r="F105" i="13" s="1"/>
  <c r="G103" i="13"/>
  <c r="E103" i="13"/>
  <c r="F103" i="13" s="1"/>
  <c r="G102" i="13"/>
  <c r="E102" i="13"/>
  <c r="F102" i="13" s="1"/>
  <c r="G101" i="13"/>
  <c r="E101" i="13"/>
  <c r="F101" i="13" s="1"/>
  <c r="G100" i="13"/>
  <c r="E100" i="13"/>
  <c r="F100" i="13" s="1"/>
  <c r="G99" i="13"/>
  <c r="E99" i="13"/>
  <c r="F99" i="13" s="1"/>
  <c r="G98" i="13"/>
  <c r="E98" i="13"/>
  <c r="F98" i="13" s="1"/>
  <c r="G94" i="13"/>
  <c r="E94" i="13"/>
  <c r="F94" i="13" s="1"/>
  <c r="G92" i="13"/>
  <c r="E92" i="13"/>
  <c r="F92" i="13" s="1"/>
  <c r="G91" i="13"/>
  <c r="E91" i="13"/>
  <c r="F91" i="13" s="1"/>
  <c r="G90" i="13"/>
  <c r="E90" i="13"/>
  <c r="F90" i="13" s="1"/>
  <c r="G89" i="13"/>
  <c r="E89" i="13"/>
  <c r="F89" i="13" s="1"/>
  <c r="G88" i="13"/>
  <c r="E88" i="13"/>
  <c r="F88" i="13" s="1"/>
  <c r="G87" i="13"/>
  <c r="E87" i="13"/>
  <c r="F87" i="13" s="1"/>
  <c r="D85" i="13"/>
  <c r="G82" i="13"/>
  <c r="E82" i="13"/>
  <c r="F82" i="13" s="1"/>
  <c r="G80" i="13"/>
  <c r="E80" i="13"/>
  <c r="F80" i="13" s="1"/>
  <c r="G79" i="13"/>
  <c r="E79" i="13"/>
  <c r="F79" i="13" s="1"/>
  <c r="G78" i="13"/>
  <c r="E78" i="13"/>
  <c r="F78" i="13" s="1"/>
  <c r="G77" i="13"/>
  <c r="E77" i="13"/>
  <c r="F77" i="13" s="1"/>
  <c r="G76" i="13"/>
  <c r="E76" i="13"/>
  <c r="F76" i="13" s="1"/>
  <c r="G75" i="13"/>
  <c r="E75" i="13"/>
  <c r="F75" i="13" s="1"/>
  <c r="G71" i="13"/>
  <c r="E71" i="13"/>
  <c r="F71" i="13" s="1"/>
  <c r="G69" i="13"/>
  <c r="E69" i="13"/>
  <c r="F69" i="13" s="1"/>
  <c r="G68" i="13"/>
  <c r="E68" i="13"/>
  <c r="F68" i="13" s="1"/>
  <c r="G67" i="13"/>
  <c r="E67" i="13"/>
  <c r="F67" i="13" s="1"/>
  <c r="G66" i="13"/>
  <c r="E66" i="13"/>
  <c r="F66" i="13" s="1"/>
  <c r="G65" i="13"/>
  <c r="E65" i="13"/>
  <c r="F65" i="13" s="1"/>
  <c r="G64" i="13"/>
  <c r="E64" i="13"/>
  <c r="F64" i="13" s="1"/>
  <c r="G60" i="13"/>
  <c r="E60" i="13"/>
  <c r="F60" i="13" s="1"/>
  <c r="G58" i="13"/>
  <c r="E58" i="13"/>
  <c r="F58" i="13" s="1"/>
  <c r="G57" i="13"/>
  <c r="E57" i="13"/>
  <c r="F57" i="13" s="1"/>
  <c r="G56" i="13"/>
  <c r="E56" i="13"/>
  <c r="F56" i="13" s="1"/>
  <c r="G55" i="13"/>
  <c r="E55" i="13"/>
  <c r="F55" i="13" s="1"/>
  <c r="G54" i="13"/>
  <c r="E54" i="13"/>
  <c r="F54" i="13" s="1"/>
  <c r="G53" i="13"/>
  <c r="E53" i="13"/>
  <c r="F53" i="13" s="1"/>
  <c r="D51" i="13"/>
  <c r="G48" i="13"/>
  <c r="E48" i="13"/>
  <c r="F48" i="13" s="1"/>
  <c r="G46" i="13"/>
  <c r="E46" i="13"/>
  <c r="F46" i="13" s="1"/>
  <c r="G45" i="13"/>
  <c r="E45" i="13"/>
  <c r="F45" i="13" s="1"/>
  <c r="G44" i="13"/>
  <c r="E44" i="13"/>
  <c r="F44" i="13" s="1"/>
  <c r="G43" i="13"/>
  <c r="E43" i="13"/>
  <c r="F43" i="13" s="1"/>
  <c r="G42" i="13"/>
  <c r="E42" i="13"/>
  <c r="F42" i="13" s="1"/>
  <c r="G41" i="13"/>
  <c r="E41" i="13"/>
  <c r="F41" i="13" s="1"/>
  <c r="G37" i="13"/>
  <c r="E37" i="13"/>
  <c r="F37" i="13" s="1"/>
  <c r="G35" i="13"/>
  <c r="E35" i="13"/>
  <c r="F35" i="13" s="1"/>
  <c r="G34" i="13"/>
  <c r="E34" i="13"/>
  <c r="F34" i="13" s="1"/>
  <c r="G33" i="13"/>
  <c r="E33" i="13"/>
  <c r="F33" i="13" s="1"/>
  <c r="G32" i="13"/>
  <c r="E32" i="13"/>
  <c r="F32" i="13" s="1"/>
  <c r="G31" i="13"/>
  <c r="E31" i="13"/>
  <c r="F31" i="13" s="1"/>
  <c r="G30" i="13"/>
  <c r="E30" i="13"/>
  <c r="F30" i="13" s="1"/>
  <c r="G26" i="13"/>
  <c r="E26" i="13"/>
  <c r="F26" i="13" s="1"/>
  <c r="G24" i="13"/>
  <c r="E24" i="13"/>
  <c r="F24" i="13" s="1"/>
  <c r="G23" i="13"/>
  <c r="E23" i="13"/>
  <c r="F23" i="13" s="1"/>
  <c r="G22" i="13"/>
  <c r="E22" i="13"/>
  <c r="F22" i="13" s="1"/>
  <c r="G21" i="13"/>
  <c r="E21" i="13"/>
  <c r="F21" i="13" s="1"/>
  <c r="G20" i="13"/>
  <c r="E20" i="13"/>
  <c r="F20" i="13" s="1"/>
  <c r="G19" i="13"/>
  <c r="E19" i="13"/>
  <c r="F19" i="13" s="1"/>
  <c r="D17" i="13"/>
  <c r="D16" i="13"/>
  <c r="F180" i="13" l="1"/>
  <c r="M180" i="13" s="1"/>
  <c r="F181" i="13"/>
  <c r="H180" i="13"/>
  <c r="L180" i="13" s="1"/>
  <c r="H181" i="13"/>
  <c r="F173" i="13"/>
  <c r="M173" i="13" s="1"/>
  <c r="F174" i="13"/>
  <c r="H173" i="13"/>
  <c r="L173" i="13" s="1"/>
  <c r="H174" i="13"/>
  <c r="G187" i="13"/>
  <c r="K187" i="13" s="1"/>
  <c r="G188" i="13"/>
  <c r="K188" i="13" s="1"/>
  <c r="G180" i="13"/>
  <c r="K180" i="13" s="1"/>
  <c r="G181" i="13"/>
  <c r="G173" i="13"/>
  <c r="K173" i="13" s="1"/>
  <c r="G174" i="13"/>
  <c r="F187" i="13"/>
  <c r="M187" i="13" s="1"/>
  <c r="F188" i="13"/>
  <c r="H187" i="13"/>
  <c r="L187" i="13" s="1"/>
  <c r="H188" i="13"/>
  <c r="F166" i="13"/>
  <c r="M166" i="13" s="1"/>
  <c r="F167" i="13"/>
  <c r="H166" i="13"/>
  <c r="L166" i="13" s="1"/>
  <c r="H167" i="13"/>
  <c r="G166" i="13"/>
  <c r="K166" i="13" s="1"/>
  <c r="G167" i="13"/>
  <c r="E133" i="11"/>
  <c r="H133" i="11"/>
  <c r="E124" i="11"/>
  <c r="H124" i="11"/>
  <c r="E114" i="11"/>
  <c r="H114" i="11"/>
  <c r="E103" i="11"/>
  <c r="H103" i="11"/>
  <c r="E93" i="11"/>
  <c r="H93" i="11"/>
  <c r="E83" i="11"/>
  <c r="H83" i="11"/>
  <c r="E72" i="11"/>
  <c r="H72" i="11"/>
  <c r="E41" i="11"/>
  <c r="H41" i="11"/>
  <c r="E62" i="11"/>
  <c r="H62" i="11"/>
  <c r="E52" i="11"/>
  <c r="H52" i="11"/>
  <c r="E31" i="11"/>
  <c r="H31" i="11"/>
  <c r="E21" i="11"/>
  <c r="H21" i="11"/>
  <c r="M468" i="7"/>
  <c r="N468" i="7"/>
  <c r="L468" i="7"/>
  <c r="I468" i="7"/>
  <c r="J468" i="7"/>
  <c r="H468" i="7"/>
  <c r="N412" i="7"/>
  <c r="M412" i="7"/>
  <c r="L412" i="7"/>
  <c r="I412" i="7"/>
  <c r="J412" i="7"/>
  <c r="H412" i="7"/>
  <c r="M356" i="7"/>
  <c r="N356" i="7"/>
  <c r="L356" i="7"/>
  <c r="I356" i="7"/>
  <c r="J356" i="7"/>
  <c r="H356" i="7"/>
  <c r="M300" i="7"/>
  <c r="N300" i="7"/>
  <c r="L300" i="7"/>
  <c r="I300" i="7"/>
  <c r="J300" i="7"/>
  <c r="H300" i="7"/>
  <c r="G168" i="13" l="1"/>
  <c r="K167" i="13"/>
  <c r="G182" i="13"/>
  <c r="K181" i="13"/>
  <c r="H182" i="13"/>
  <c r="L181" i="13"/>
  <c r="F189" i="13"/>
  <c r="M188" i="13"/>
  <c r="H168" i="13"/>
  <c r="L167" i="13"/>
  <c r="H189" i="13"/>
  <c r="L188" i="13"/>
  <c r="G175" i="13"/>
  <c r="K174" i="13"/>
  <c r="F175" i="13"/>
  <c r="M174" i="13"/>
  <c r="F182" i="13"/>
  <c r="M181" i="13"/>
  <c r="F168" i="13"/>
  <c r="M167" i="13"/>
  <c r="H175" i="13"/>
  <c r="L174" i="13"/>
  <c r="G189" i="13"/>
  <c r="I29" i="7"/>
  <c r="J29" i="7"/>
  <c r="H29" i="7"/>
  <c r="I201" i="13" l="1"/>
  <c r="G190" i="13"/>
  <c r="F203" i="13"/>
  <c r="F169" i="13"/>
  <c r="F170" i="13" s="1"/>
  <c r="F171" i="13" s="1"/>
  <c r="F210" i="13" s="1"/>
  <c r="G203" i="13"/>
  <c r="F176" i="13"/>
  <c r="F177" i="13" s="1"/>
  <c r="F178" i="13" s="1"/>
  <c r="G210" i="13" s="1"/>
  <c r="I202" i="13"/>
  <c r="H190" i="13"/>
  <c r="F190" i="13"/>
  <c r="I203" i="13"/>
  <c r="H201" i="13"/>
  <c r="G183" i="13"/>
  <c r="H176" i="13"/>
  <c r="H177" i="13" s="1"/>
  <c r="H178" i="13" s="1"/>
  <c r="G209" i="13" s="1"/>
  <c r="G202" i="13"/>
  <c r="F183" i="13"/>
  <c r="H203" i="13"/>
  <c r="G201" i="13"/>
  <c r="G176" i="13"/>
  <c r="G177" i="13" s="1"/>
  <c r="G178" i="13" s="1"/>
  <c r="G208" i="13" s="1"/>
  <c r="H169" i="13"/>
  <c r="H170" i="13" s="1"/>
  <c r="H171" i="13" s="1"/>
  <c r="F209" i="13" s="1"/>
  <c r="F202" i="13"/>
  <c r="H202" i="13"/>
  <c r="H183" i="13"/>
  <c r="F201" i="13"/>
  <c r="G169" i="13"/>
  <c r="G170" i="13" s="1"/>
  <c r="G171" i="13" s="1"/>
  <c r="F208" i="13" s="1"/>
  <c r="E112" i="11"/>
  <c r="H112" i="11"/>
  <c r="E111" i="11"/>
  <c r="H111" i="11"/>
  <c r="E121" i="11"/>
  <c r="H121" i="11"/>
  <c r="E122" i="11"/>
  <c r="H122" i="11"/>
  <c r="E130" i="11"/>
  <c r="H130" i="11"/>
  <c r="E131" i="11"/>
  <c r="H131" i="11"/>
  <c r="E80" i="11"/>
  <c r="H80" i="11"/>
  <c r="E81" i="11"/>
  <c r="H81" i="11"/>
  <c r="E90" i="11"/>
  <c r="H90" i="11"/>
  <c r="E91" i="11"/>
  <c r="H91" i="11"/>
  <c r="E100" i="11"/>
  <c r="H100" i="11"/>
  <c r="E101" i="11"/>
  <c r="H101" i="11"/>
  <c r="E49" i="11"/>
  <c r="H49" i="11"/>
  <c r="E50" i="11"/>
  <c r="H50" i="11"/>
  <c r="E59" i="11"/>
  <c r="H59" i="11"/>
  <c r="E60" i="11"/>
  <c r="H60" i="11"/>
  <c r="E69" i="11"/>
  <c r="H69" i="11"/>
  <c r="E70" i="11"/>
  <c r="H70" i="11"/>
  <c r="E18" i="11"/>
  <c r="H18" i="11"/>
  <c r="E19" i="11"/>
  <c r="H19" i="11"/>
  <c r="E28" i="11"/>
  <c r="H28" i="11"/>
  <c r="E29" i="11"/>
  <c r="H29" i="11"/>
  <c r="E38" i="11"/>
  <c r="H38" i="11"/>
  <c r="E39" i="11"/>
  <c r="H39" i="11"/>
  <c r="M462" i="7"/>
  <c r="N462" i="7"/>
  <c r="M464" i="7"/>
  <c r="N464" i="7"/>
  <c r="L464" i="7"/>
  <c r="L462" i="7"/>
  <c r="L460" i="7"/>
  <c r="I462" i="7"/>
  <c r="J462" i="7"/>
  <c r="I464" i="7"/>
  <c r="J464" i="7"/>
  <c r="H464" i="7"/>
  <c r="H462" i="7"/>
  <c r="H460" i="7"/>
  <c r="M406" i="7"/>
  <c r="N406" i="7"/>
  <c r="M408" i="7"/>
  <c r="N408" i="7"/>
  <c r="L408" i="7"/>
  <c r="L406" i="7"/>
  <c r="L404" i="7"/>
  <c r="I406" i="7"/>
  <c r="J406" i="7"/>
  <c r="I408" i="7"/>
  <c r="J408" i="7"/>
  <c r="H408" i="7"/>
  <c r="H406" i="7"/>
  <c r="H404" i="7"/>
  <c r="M350" i="7"/>
  <c r="N350" i="7"/>
  <c r="M352" i="7"/>
  <c r="N352" i="7"/>
  <c r="L352" i="7"/>
  <c r="L350" i="7"/>
  <c r="L348" i="7"/>
  <c r="I350" i="7"/>
  <c r="J350" i="7"/>
  <c r="I352" i="7"/>
  <c r="J352" i="7"/>
  <c r="H352" i="7"/>
  <c r="H350" i="7"/>
  <c r="H348" i="7"/>
  <c r="M294" i="7"/>
  <c r="N294" i="7"/>
  <c r="M296" i="7"/>
  <c r="N296" i="7"/>
  <c r="L296" i="7"/>
  <c r="L294" i="7"/>
  <c r="L292" i="7"/>
  <c r="I294" i="7"/>
  <c r="J294" i="7"/>
  <c r="I296" i="7"/>
  <c r="J296" i="7"/>
  <c r="H296" i="7"/>
  <c r="H294" i="7"/>
  <c r="H292" i="7"/>
  <c r="H185" i="13" l="1"/>
  <c r="H209" i="13" s="1"/>
  <c r="G191" i="13"/>
  <c r="G192" i="13" s="1"/>
  <c r="I208" i="13" s="1"/>
  <c r="G184" i="13"/>
  <c r="G185" i="13" s="1"/>
  <c r="H208" i="13" s="1"/>
  <c r="H192" i="13"/>
  <c r="I209" i="13" s="1"/>
  <c r="F185" i="13"/>
  <c r="H210" i="13" s="1"/>
  <c r="F191" i="13"/>
  <c r="F192" i="13" s="1"/>
  <c r="I210" i="13" s="1"/>
  <c r="I25" i="7"/>
  <c r="J25" i="7"/>
  <c r="H25" i="7"/>
  <c r="I23" i="7"/>
  <c r="J23" i="7"/>
  <c r="H23" i="7"/>
  <c r="E127" i="11"/>
  <c r="H127" i="11"/>
  <c r="E128" i="11"/>
  <c r="H128" i="11"/>
  <c r="E129" i="11"/>
  <c r="H129" i="11"/>
  <c r="E118" i="11"/>
  <c r="H118" i="11"/>
  <c r="E119" i="11"/>
  <c r="H119" i="11"/>
  <c r="E120" i="11"/>
  <c r="H120" i="11"/>
  <c r="H126" i="11"/>
  <c r="H117" i="11"/>
  <c r="E108" i="11"/>
  <c r="H108" i="11"/>
  <c r="E109" i="11"/>
  <c r="H109" i="11"/>
  <c r="E110" i="11"/>
  <c r="H110" i="11"/>
  <c r="H107" i="11"/>
  <c r="E126" i="11"/>
  <c r="E117" i="11"/>
  <c r="E107" i="11"/>
  <c r="E97" i="11"/>
  <c r="H97" i="11"/>
  <c r="E98" i="11"/>
  <c r="H98" i="11"/>
  <c r="E99" i="11"/>
  <c r="H99" i="11"/>
  <c r="H96" i="11"/>
  <c r="E87" i="11"/>
  <c r="H87" i="11"/>
  <c r="E88" i="11"/>
  <c r="H88" i="11"/>
  <c r="E89" i="11"/>
  <c r="H89" i="11"/>
  <c r="H86" i="11"/>
  <c r="E77" i="11"/>
  <c r="H77" i="11"/>
  <c r="E78" i="11"/>
  <c r="H78" i="11"/>
  <c r="E79" i="11"/>
  <c r="H79" i="11"/>
  <c r="H76" i="11"/>
  <c r="E96" i="11"/>
  <c r="E86" i="11"/>
  <c r="E76" i="11"/>
  <c r="E66" i="11"/>
  <c r="H66" i="11"/>
  <c r="E67" i="11"/>
  <c r="H67" i="11"/>
  <c r="E68" i="11"/>
  <c r="H68" i="11"/>
  <c r="H65" i="11"/>
  <c r="E56" i="11"/>
  <c r="H56" i="11"/>
  <c r="E57" i="11"/>
  <c r="H57" i="11"/>
  <c r="E58" i="11"/>
  <c r="H58" i="11"/>
  <c r="H55" i="11"/>
  <c r="E46" i="11"/>
  <c r="H46" i="11"/>
  <c r="E47" i="11"/>
  <c r="H47" i="11"/>
  <c r="E48" i="11"/>
  <c r="H48" i="11"/>
  <c r="H45" i="11"/>
  <c r="E65" i="11"/>
  <c r="E55" i="11"/>
  <c r="E45" i="11"/>
  <c r="E35" i="11" l="1"/>
  <c r="H35" i="11"/>
  <c r="E36" i="11"/>
  <c r="H36" i="11"/>
  <c r="E37" i="11"/>
  <c r="H37" i="11"/>
  <c r="H34" i="11"/>
  <c r="E34" i="11"/>
  <c r="E25" i="11"/>
  <c r="H25" i="11"/>
  <c r="E26" i="11"/>
  <c r="H26" i="11"/>
  <c r="E27" i="11"/>
  <c r="H27" i="11"/>
  <c r="H24" i="11"/>
  <c r="E24" i="11" l="1"/>
  <c r="E15" i="11"/>
  <c r="H15" i="11"/>
  <c r="E16" i="11"/>
  <c r="H16" i="11"/>
  <c r="E17" i="11"/>
  <c r="H17" i="11"/>
  <c r="H14" i="11"/>
  <c r="E14" i="11"/>
  <c r="D105" i="11"/>
  <c r="D74" i="11"/>
  <c r="D43" i="11"/>
  <c r="D12" i="11"/>
  <c r="D11" i="11"/>
  <c r="N454" i="7"/>
  <c r="N456" i="7"/>
  <c r="N458" i="7"/>
  <c r="N460" i="7"/>
  <c r="J454" i="7"/>
  <c r="J456" i="7"/>
  <c r="J458" i="7"/>
  <c r="J460" i="7"/>
  <c r="N398" i="7"/>
  <c r="N400" i="7"/>
  <c r="N402" i="7"/>
  <c r="N404" i="7"/>
  <c r="J398" i="7"/>
  <c r="J400" i="7"/>
  <c r="J402" i="7"/>
  <c r="J404" i="7"/>
  <c r="N342" i="7"/>
  <c r="N344" i="7"/>
  <c r="N346" i="7"/>
  <c r="N348" i="7"/>
  <c r="J342" i="7"/>
  <c r="J344" i="7"/>
  <c r="J346" i="7"/>
  <c r="J348" i="7"/>
  <c r="N286" i="7"/>
  <c r="N288" i="7"/>
  <c r="N290" i="7"/>
  <c r="N292" i="7"/>
  <c r="J286" i="7"/>
  <c r="J288" i="7"/>
  <c r="J290" i="7"/>
  <c r="J292" i="7"/>
  <c r="M460" i="7" l="1"/>
  <c r="I460" i="7"/>
  <c r="M458" i="7"/>
  <c r="L458" i="7"/>
  <c r="I458" i="7"/>
  <c r="H458" i="7"/>
  <c r="M456" i="7"/>
  <c r="L456" i="7"/>
  <c r="I456" i="7"/>
  <c r="H456" i="7"/>
  <c r="M454" i="7"/>
  <c r="L454" i="7"/>
  <c r="I454" i="7"/>
  <c r="H454" i="7"/>
  <c r="J151" i="7"/>
  <c r="J183" i="7" l="1"/>
  <c r="J222" i="7" s="1"/>
  <c r="J223" i="7" s="1"/>
  <c r="J212" i="7"/>
  <c r="J213" i="7" s="1"/>
  <c r="J38" i="7"/>
  <c r="J210" i="7" l="1"/>
  <c r="J211" i="7" s="1"/>
  <c r="J216" i="7"/>
  <c r="J217" i="7" s="1"/>
  <c r="J224" i="7"/>
  <c r="J225" i="7" s="1"/>
  <c r="J214" i="7"/>
  <c r="J215" i="7" s="1"/>
  <c r="J218" i="7"/>
  <c r="J219" i="7" s="1"/>
  <c r="J220" i="7"/>
  <c r="J221" i="7" s="1"/>
  <c r="J39" i="7"/>
  <c r="J159" i="7"/>
  <c r="J157" i="7"/>
  <c r="J40" i="7"/>
  <c r="J21" i="7"/>
  <c r="J19" i="7"/>
  <c r="J17" i="7"/>
  <c r="J15" i="7"/>
  <c r="J10" i="7"/>
  <c r="J153" i="7" l="1"/>
  <c r="J107" i="7"/>
  <c r="J158" i="7" s="1"/>
  <c r="J11" i="7"/>
  <c r="H164" i="13" s="1"/>
  <c r="J124" i="7"/>
  <c r="J141" i="7"/>
  <c r="J125" i="7"/>
  <c r="J102" i="7"/>
  <c r="J152" i="7" s="1"/>
  <c r="J108" i="7"/>
  <c r="J160" i="7" s="1"/>
  <c r="J12" i="7"/>
  <c r="I151" i="7"/>
  <c r="H151" i="7"/>
  <c r="J74" i="7" l="1"/>
  <c r="J177" i="7" s="1"/>
  <c r="J197" i="7" s="1"/>
  <c r="O18" i="18"/>
  <c r="E202" i="13"/>
  <c r="E209" i="13"/>
  <c r="J119" i="7"/>
  <c r="J178" i="7" s="1"/>
  <c r="J67" i="7"/>
  <c r="J76" i="7"/>
  <c r="J179" i="7" s="1"/>
  <c r="J198" i="7" s="1"/>
  <c r="J60" i="7"/>
  <c r="J59" i="7"/>
  <c r="J64" i="7"/>
  <c r="J77" i="7"/>
  <c r="J70" i="7"/>
  <c r="J75" i="7"/>
  <c r="J66" i="7"/>
  <c r="J131" i="7" s="1"/>
  <c r="J185" i="7"/>
  <c r="J186" i="7"/>
  <c r="J62" i="7"/>
  <c r="J69" i="7"/>
  <c r="J172" i="7" s="1"/>
  <c r="J194" i="7" s="1"/>
  <c r="J71" i="7"/>
  <c r="J174" i="7" s="1"/>
  <c r="J195" i="7" s="1"/>
  <c r="J65" i="7"/>
  <c r="J72" i="7"/>
  <c r="J61" i="7"/>
  <c r="J164" i="7" s="1"/>
  <c r="J189" i="7" s="1"/>
  <c r="I38" i="7"/>
  <c r="J446" i="7" l="1"/>
  <c r="J448" i="7"/>
  <c r="J390" i="7"/>
  <c r="J392" i="7"/>
  <c r="J483" i="7"/>
  <c r="J484" i="7" s="1"/>
  <c r="J485" i="7"/>
  <c r="J486" i="7" s="1"/>
  <c r="J241" i="7"/>
  <c r="J242" i="7" s="1"/>
  <c r="J243" i="7"/>
  <c r="J244" i="7" s="1"/>
  <c r="J315" i="7"/>
  <c r="J316" i="7" s="1"/>
  <c r="J317" i="7"/>
  <c r="J318" i="7" s="1"/>
  <c r="J259" i="7"/>
  <c r="J260" i="7" s="1"/>
  <c r="J261" i="7"/>
  <c r="J262" i="7" s="1"/>
  <c r="J136" i="7"/>
  <c r="T25" i="18"/>
  <c r="L25" i="18"/>
  <c r="H25" i="18"/>
  <c r="P25" i="18"/>
  <c r="H26" i="18"/>
  <c r="L26" i="18"/>
  <c r="P26" i="18"/>
  <c r="T26" i="18"/>
  <c r="J427" i="7"/>
  <c r="J428" i="7" s="1"/>
  <c r="J429" i="7"/>
  <c r="J430" i="7" s="1"/>
  <c r="J481" i="7"/>
  <c r="J482" i="7" s="1"/>
  <c r="J479" i="7"/>
  <c r="J480" i="7" s="1"/>
  <c r="J444" i="7"/>
  <c r="J442" i="7"/>
  <c r="J425" i="7"/>
  <c r="J426" i="7" s="1"/>
  <c r="J423" i="7"/>
  <c r="J424" i="7" s="1"/>
  <c r="J386" i="7"/>
  <c r="J388" i="7"/>
  <c r="J311" i="7"/>
  <c r="J312" i="7" s="1"/>
  <c r="J313" i="7"/>
  <c r="J314" i="7" s="1"/>
  <c r="J255" i="7"/>
  <c r="J256" i="7" s="1"/>
  <c r="J257" i="7"/>
  <c r="J258" i="7" s="1"/>
  <c r="J237" i="7"/>
  <c r="J238" i="7" s="1"/>
  <c r="J239" i="7"/>
  <c r="J240" i="7" s="1"/>
  <c r="J477" i="7"/>
  <c r="J478" i="7" s="1"/>
  <c r="J473" i="7"/>
  <c r="J474" i="7" s="1"/>
  <c r="J475" i="7"/>
  <c r="J476" i="7" s="1"/>
  <c r="J471" i="7"/>
  <c r="J472" i="7" s="1"/>
  <c r="J434" i="7"/>
  <c r="J436" i="7"/>
  <c r="J438" i="7"/>
  <c r="J440" i="7"/>
  <c r="J380" i="7"/>
  <c r="J382" i="7"/>
  <c r="J378" i="7"/>
  <c r="J384" i="7"/>
  <c r="J305" i="7"/>
  <c r="J306" i="7" s="1"/>
  <c r="J309" i="7"/>
  <c r="J310" i="7" s="1"/>
  <c r="J307" i="7"/>
  <c r="J308" i="7" s="1"/>
  <c r="J303" i="7"/>
  <c r="J304" i="7" s="1"/>
  <c r="J415" i="7"/>
  <c r="J416" i="7" s="1"/>
  <c r="J421" i="7"/>
  <c r="J422" i="7" s="1"/>
  <c r="J417" i="7"/>
  <c r="J418" i="7" s="1"/>
  <c r="J419" i="7"/>
  <c r="J420" i="7" s="1"/>
  <c r="J233" i="7"/>
  <c r="J234" i="7" s="1"/>
  <c r="J231" i="7"/>
  <c r="J232" i="7" s="1"/>
  <c r="J229" i="7"/>
  <c r="J230" i="7" s="1"/>
  <c r="J235" i="7"/>
  <c r="J236" i="7" s="1"/>
  <c r="J110" i="7"/>
  <c r="J163" i="7" s="1"/>
  <c r="J162" i="7"/>
  <c r="J188" i="7" s="1"/>
  <c r="J127" i="7"/>
  <c r="J114" i="7"/>
  <c r="J170" i="7" s="1"/>
  <c r="J169" i="7"/>
  <c r="J192" i="7" s="1"/>
  <c r="J120" i="7"/>
  <c r="J180" i="7" s="1"/>
  <c r="J137" i="7"/>
  <c r="J247" i="7"/>
  <c r="J248" i="7" s="1"/>
  <c r="J253" i="7"/>
  <c r="J254" i="7" s="1"/>
  <c r="J249" i="7"/>
  <c r="J250" i="7" s="1"/>
  <c r="J251" i="7"/>
  <c r="J252" i="7" s="1"/>
  <c r="J113" i="7"/>
  <c r="J168" i="7" s="1"/>
  <c r="J167" i="7"/>
  <c r="J191" i="7" s="1"/>
  <c r="J130" i="7"/>
  <c r="J111" i="7"/>
  <c r="J165" i="7" s="1"/>
  <c r="J128" i="7"/>
  <c r="J116" i="7"/>
  <c r="J173" i="7" s="1"/>
  <c r="J133" i="7"/>
  <c r="J117" i="7"/>
  <c r="J175" i="7" s="1"/>
  <c r="J134" i="7"/>
  <c r="I159" i="7"/>
  <c r="I157" i="7"/>
  <c r="I39" i="7"/>
  <c r="I40" i="7"/>
  <c r="F103" i="11" l="1"/>
  <c r="J393" i="7"/>
  <c r="J278" i="7"/>
  <c r="J280" i="7"/>
  <c r="J391" i="7"/>
  <c r="F102" i="11"/>
  <c r="J334" i="7"/>
  <c r="J336" i="7"/>
  <c r="J371" i="7"/>
  <c r="J372" i="7" s="1"/>
  <c r="J373" i="7"/>
  <c r="J374" i="7" s="1"/>
  <c r="F133" i="11"/>
  <c r="J449" i="7"/>
  <c r="F132" i="11"/>
  <c r="J447" i="7"/>
  <c r="J443" i="7"/>
  <c r="F130" i="11"/>
  <c r="J387" i="7"/>
  <c r="F100" i="11"/>
  <c r="J445" i="7"/>
  <c r="F131" i="11"/>
  <c r="J389" i="7"/>
  <c r="F101" i="11"/>
  <c r="J367" i="7"/>
  <c r="J368" i="7" s="1"/>
  <c r="J369" i="7"/>
  <c r="J370" i="7" s="1"/>
  <c r="J330" i="7"/>
  <c r="J332" i="7"/>
  <c r="J274" i="7"/>
  <c r="J276" i="7"/>
  <c r="J385" i="7"/>
  <c r="F99" i="11"/>
  <c r="F129" i="11"/>
  <c r="J441" i="7"/>
  <c r="J379" i="7"/>
  <c r="F96" i="11"/>
  <c r="F128" i="11"/>
  <c r="J439" i="7"/>
  <c r="J383" i="7"/>
  <c r="F98" i="11"/>
  <c r="F127" i="11"/>
  <c r="J437" i="7"/>
  <c r="J381" i="7"/>
  <c r="F97" i="11"/>
  <c r="F126" i="11"/>
  <c r="J435" i="7"/>
  <c r="J270" i="7"/>
  <c r="J266" i="7"/>
  <c r="J272" i="7"/>
  <c r="J268" i="7"/>
  <c r="J326" i="7"/>
  <c r="J322" i="7"/>
  <c r="J328" i="7"/>
  <c r="J324" i="7"/>
  <c r="J361" i="7"/>
  <c r="J362" i="7" s="1"/>
  <c r="J365" i="7"/>
  <c r="J366" i="7" s="1"/>
  <c r="J363" i="7"/>
  <c r="J364" i="7" s="1"/>
  <c r="J359" i="7"/>
  <c r="J360" i="7" s="1"/>
  <c r="I108" i="7"/>
  <c r="I160" i="7" s="1"/>
  <c r="I153" i="7"/>
  <c r="I125" i="7"/>
  <c r="I102" i="7"/>
  <c r="I152" i="7" s="1"/>
  <c r="I141" i="7"/>
  <c r="I124" i="7"/>
  <c r="I107" i="7"/>
  <c r="I158" i="7" s="1"/>
  <c r="J337" i="7" l="1"/>
  <c r="F72" i="11"/>
  <c r="J281" i="7"/>
  <c r="F41" i="11"/>
  <c r="G133" i="11"/>
  <c r="I133" i="11"/>
  <c r="J133" i="11"/>
  <c r="J335" i="7"/>
  <c r="F71" i="11"/>
  <c r="J279" i="7"/>
  <c r="F40" i="11"/>
  <c r="G102" i="11"/>
  <c r="I102" i="11"/>
  <c r="J102" i="11"/>
  <c r="G132" i="11"/>
  <c r="J132" i="11"/>
  <c r="I132" i="11"/>
  <c r="G103" i="11"/>
  <c r="J103" i="11"/>
  <c r="I103" i="11"/>
  <c r="J331" i="7"/>
  <c r="F69" i="11"/>
  <c r="J333" i="7"/>
  <c r="F70" i="11"/>
  <c r="G101" i="11"/>
  <c r="I101" i="11"/>
  <c r="J101" i="11"/>
  <c r="G100" i="11"/>
  <c r="J100" i="11"/>
  <c r="I100" i="11"/>
  <c r="J277" i="7"/>
  <c r="F39" i="11"/>
  <c r="G131" i="11"/>
  <c r="I131" i="11"/>
  <c r="J131" i="11"/>
  <c r="G130" i="11"/>
  <c r="I130" i="11"/>
  <c r="J130" i="11"/>
  <c r="J275" i="7"/>
  <c r="F38" i="11"/>
  <c r="J325" i="7"/>
  <c r="F66" i="11"/>
  <c r="J269" i="7"/>
  <c r="F35" i="11"/>
  <c r="J329" i="7"/>
  <c r="F68" i="11"/>
  <c r="J273" i="7"/>
  <c r="F37" i="11"/>
  <c r="G126" i="11"/>
  <c r="I126" i="11"/>
  <c r="J126" i="11"/>
  <c r="I127" i="11"/>
  <c r="J127" i="11"/>
  <c r="G127" i="11"/>
  <c r="I128" i="11"/>
  <c r="G128" i="11"/>
  <c r="J128" i="11"/>
  <c r="G129" i="11"/>
  <c r="J129" i="11"/>
  <c r="I129" i="11"/>
  <c r="J323" i="7"/>
  <c r="F65" i="11"/>
  <c r="J267" i="7"/>
  <c r="F34" i="11"/>
  <c r="G97" i="11"/>
  <c r="I97" i="11"/>
  <c r="J97" i="11"/>
  <c r="G98" i="11"/>
  <c r="I98" i="11"/>
  <c r="J98" i="11"/>
  <c r="J96" i="11"/>
  <c r="I96" i="11"/>
  <c r="G96" i="11"/>
  <c r="G99" i="11"/>
  <c r="I99" i="11"/>
  <c r="J99" i="11"/>
  <c r="J327" i="7"/>
  <c r="F67" i="11"/>
  <c r="J271" i="7"/>
  <c r="F36" i="11"/>
  <c r="I185" i="7"/>
  <c r="I186" i="7"/>
  <c r="G41" i="11" l="1"/>
  <c r="J41" i="11"/>
  <c r="I41" i="11"/>
  <c r="G40" i="11"/>
  <c r="J40" i="11"/>
  <c r="I40" i="11"/>
  <c r="I259" i="7"/>
  <c r="I260" i="7" s="1"/>
  <c r="I261" i="7"/>
  <c r="I262" i="7" s="1"/>
  <c r="G72" i="11"/>
  <c r="I72" i="11"/>
  <c r="J72" i="11"/>
  <c r="I241" i="7"/>
  <c r="I242" i="7" s="1"/>
  <c r="I243" i="7"/>
  <c r="I244" i="7" s="1"/>
  <c r="G71" i="11"/>
  <c r="I71" i="11"/>
  <c r="J71" i="11"/>
  <c r="G39" i="11"/>
  <c r="J39" i="11"/>
  <c r="I39" i="11"/>
  <c r="G69" i="11"/>
  <c r="I69" i="11"/>
  <c r="J69" i="11"/>
  <c r="G38" i="11"/>
  <c r="I38" i="11"/>
  <c r="J38" i="11"/>
  <c r="G70" i="11"/>
  <c r="I70" i="11"/>
  <c r="J70" i="11"/>
  <c r="I255" i="7"/>
  <c r="I256" i="7" s="1"/>
  <c r="I257" i="7"/>
  <c r="I258" i="7" s="1"/>
  <c r="I237" i="7"/>
  <c r="I238" i="7" s="1"/>
  <c r="I239" i="7"/>
  <c r="I240" i="7" s="1"/>
  <c r="G67" i="11"/>
  <c r="J67" i="11"/>
  <c r="I67" i="11"/>
  <c r="G65" i="11"/>
  <c r="I65" i="11"/>
  <c r="J65" i="11"/>
  <c r="G37" i="11"/>
  <c r="J37" i="11"/>
  <c r="I37" i="11"/>
  <c r="J35" i="11"/>
  <c r="G35" i="11"/>
  <c r="I35" i="11"/>
  <c r="G34" i="11"/>
  <c r="J34" i="11"/>
  <c r="I34" i="11"/>
  <c r="G68" i="11"/>
  <c r="J68" i="11"/>
  <c r="I68" i="11"/>
  <c r="G66" i="11"/>
  <c r="I66" i="11"/>
  <c r="J66" i="11"/>
  <c r="G36" i="11"/>
  <c r="J36" i="11"/>
  <c r="I36" i="11"/>
  <c r="H290" i="7"/>
  <c r="M404" i="7" l="1"/>
  <c r="I404" i="7"/>
  <c r="M402" i="7"/>
  <c r="L402" i="7"/>
  <c r="I402" i="7"/>
  <c r="H402" i="7"/>
  <c r="M400" i="7"/>
  <c r="L400" i="7"/>
  <c r="I400" i="7"/>
  <c r="H400" i="7"/>
  <c r="M398" i="7"/>
  <c r="L398" i="7"/>
  <c r="I398" i="7"/>
  <c r="H398" i="7"/>
  <c r="M348" i="7"/>
  <c r="I348" i="7"/>
  <c r="M346" i="7"/>
  <c r="L346" i="7"/>
  <c r="I346" i="7"/>
  <c r="H346" i="7"/>
  <c r="M344" i="7"/>
  <c r="L344" i="7"/>
  <c r="I344" i="7"/>
  <c r="H344" i="7"/>
  <c r="M342" i="7"/>
  <c r="L342" i="7"/>
  <c r="I342" i="7"/>
  <c r="H342" i="7"/>
  <c r="M292" i="7"/>
  <c r="I292" i="7"/>
  <c r="M290" i="7"/>
  <c r="L290" i="7"/>
  <c r="I290" i="7"/>
  <c r="M288" i="7"/>
  <c r="L288" i="7"/>
  <c r="I288" i="7"/>
  <c r="H288" i="7"/>
  <c r="M286" i="7"/>
  <c r="L286" i="7"/>
  <c r="I286" i="7"/>
  <c r="H286" i="7"/>
  <c r="I183" i="7"/>
  <c r="H38" i="7"/>
  <c r="I21" i="7"/>
  <c r="H21" i="7"/>
  <c r="I19" i="7"/>
  <c r="H19" i="7"/>
  <c r="I17" i="7"/>
  <c r="H17" i="7"/>
  <c r="I15" i="7"/>
  <c r="H15" i="7"/>
  <c r="I10" i="7"/>
  <c r="H10" i="7"/>
  <c r="I224" i="7" l="1"/>
  <c r="I225" i="7" s="1"/>
  <c r="I222" i="7"/>
  <c r="I223" i="7" s="1"/>
  <c r="I218" i="7"/>
  <c r="I219" i="7" s="1"/>
  <c r="I220" i="7"/>
  <c r="I221" i="7" s="1"/>
  <c r="H159" i="7"/>
  <c r="H157" i="7"/>
  <c r="I214" i="7"/>
  <c r="I215" i="7" s="1"/>
  <c r="I216" i="7"/>
  <c r="I217" i="7" s="1"/>
  <c r="I212" i="7"/>
  <c r="I213" i="7" s="1"/>
  <c r="I210" i="7"/>
  <c r="I211" i="7" s="1"/>
  <c r="H39" i="7"/>
  <c r="H40" i="7"/>
  <c r="I11" i="7"/>
  <c r="G164" i="13" s="1"/>
  <c r="I12" i="7"/>
  <c r="H11" i="7"/>
  <c r="F164" i="13" s="1"/>
  <c r="H12" i="7"/>
  <c r="E201" i="13" l="1"/>
  <c r="E208" i="13"/>
  <c r="H65" i="7"/>
  <c r="M18" i="18"/>
  <c r="E203" i="13"/>
  <c r="E210" i="13"/>
  <c r="I64" i="7"/>
  <c r="I167" i="7" s="1"/>
  <c r="I191" i="7" s="1"/>
  <c r="N18" i="18"/>
  <c r="H77" i="7"/>
  <c r="H76" i="7"/>
  <c r="I77" i="7"/>
  <c r="I75" i="7"/>
  <c r="H69" i="7"/>
  <c r="H172" i="7" s="1"/>
  <c r="H74" i="7"/>
  <c r="I76" i="7"/>
  <c r="I179" i="7" s="1"/>
  <c r="I198" i="7" s="1"/>
  <c r="H75" i="7"/>
  <c r="I74" i="7"/>
  <c r="I177" i="7" s="1"/>
  <c r="I197" i="7" s="1"/>
  <c r="H108" i="7"/>
  <c r="H160" i="7" s="1"/>
  <c r="H153" i="7"/>
  <c r="H66" i="7"/>
  <c r="H169" i="7" s="1"/>
  <c r="I113" i="7"/>
  <c r="I168" i="7" s="1"/>
  <c r="I130" i="7"/>
  <c r="H102" i="7"/>
  <c r="H152" i="7" s="1"/>
  <c r="H125" i="7"/>
  <c r="H141" i="7"/>
  <c r="H124" i="7"/>
  <c r="H183" i="7"/>
  <c r="H107" i="7"/>
  <c r="H158" i="7" s="1"/>
  <c r="I62" i="7"/>
  <c r="I66" i="7"/>
  <c r="I169" i="7" s="1"/>
  <c r="I192" i="7" s="1"/>
  <c r="I61" i="7"/>
  <c r="I164" i="7" s="1"/>
  <c r="I189" i="7" s="1"/>
  <c r="I72" i="7"/>
  <c r="I59" i="7"/>
  <c r="I162" i="7" s="1"/>
  <c r="I188" i="7" s="1"/>
  <c r="I67" i="7"/>
  <c r="I69" i="7"/>
  <c r="I172" i="7" s="1"/>
  <c r="I194" i="7" s="1"/>
  <c r="I60" i="7"/>
  <c r="H72" i="7"/>
  <c r="I65" i="7"/>
  <c r="I71" i="7"/>
  <c r="I174" i="7" s="1"/>
  <c r="I195" i="7" s="1"/>
  <c r="I70" i="7"/>
  <c r="H60" i="7"/>
  <c r="H71" i="7"/>
  <c r="H67" i="7"/>
  <c r="H62" i="7"/>
  <c r="H70" i="7"/>
  <c r="H59" i="7"/>
  <c r="H64" i="7"/>
  <c r="H61" i="7"/>
  <c r="H164" i="7" s="1"/>
  <c r="I390" i="7" l="1"/>
  <c r="I392" i="7"/>
  <c r="I371" i="7"/>
  <c r="I372" i="7" s="1"/>
  <c r="I373" i="7"/>
  <c r="I374" i="7" s="1"/>
  <c r="S25" i="18"/>
  <c r="O25" i="18"/>
  <c r="G26" i="18"/>
  <c r="G25" i="18"/>
  <c r="S26" i="18"/>
  <c r="K25" i="18"/>
  <c r="K26" i="18"/>
  <c r="O26" i="18"/>
  <c r="F26" i="18"/>
  <c r="J25" i="18"/>
  <c r="J26" i="18"/>
  <c r="F25" i="18"/>
  <c r="N26" i="18"/>
  <c r="N25" i="18"/>
  <c r="R25" i="18"/>
  <c r="R26" i="18"/>
  <c r="I446" i="7"/>
  <c r="I448" i="7"/>
  <c r="I334" i="7"/>
  <c r="I336" i="7"/>
  <c r="I278" i="7"/>
  <c r="I280" i="7"/>
  <c r="I332" i="7"/>
  <c r="F60" i="11" s="1"/>
  <c r="I427" i="7"/>
  <c r="I428" i="7" s="1"/>
  <c r="I429" i="7"/>
  <c r="I430" i="7" s="1"/>
  <c r="I315" i="7"/>
  <c r="I316" i="7" s="1"/>
  <c r="I317" i="7"/>
  <c r="I318" i="7" s="1"/>
  <c r="H224" i="7"/>
  <c r="H225" i="7" s="1"/>
  <c r="H222" i="7"/>
  <c r="H223" i="7" s="1"/>
  <c r="I483" i="7"/>
  <c r="I484" i="7" s="1"/>
  <c r="I485" i="7"/>
  <c r="I486" i="7" s="1"/>
  <c r="I330" i="7"/>
  <c r="I333" i="7"/>
  <c r="I481" i="7"/>
  <c r="I482" i="7" s="1"/>
  <c r="I479" i="7"/>
  <c r="I480" i="7" s="1"/>
  <c r="I331" i="7"/>
  <c r="F59" i="11"/>
  <c r="I442" i="7"/>
  <c r="I444" i="7"/>
  <c r="I423" i="7"/>
  <c r="I424" i="7" s="1"/>
  <c r="I425" i="7"/>
  <c r="I426" i="7" s="1"/>
  <c r="I386" i="7"/>
  <c r="I388" i="7"/>
  <c r="I367" i="7"/>
  <c r="I368" i="7" s="1"/>
  <c r="I369" i="7"/>
  <c r="I370" i="7" s="1"/>
  <c r="I311" i="7"/>
  <c r="I312" i="7" s="1"/>
  <c r="I313" i="7"/>
  <c r="I314" i="7" s="1"/>
  <c r="I274" i="7"/>
  <c r="I276" i="7"/>
  <c r="H220" i="7"/>
  <c r="H221" i="7" s="1"/>
  <c r="H216" i="7"/>
  <c r="H217" i="7" s="1"/>
  <c r="H218" i="7"/>
  <c r="H219" i="7" s="1"/>
  <c r="I477" i="7"/>
  <c r="I478" i="7" s="1"/>
  <c r="I473" i="7"/>
  <c r="I474" i="7" s="1"/>
  <c r="I475" i="7"/>
  <c r="I476" i="7" s="1"/>
  <c r="I471" i="7"/>
  <c r="I472" i="7" s="1"/>
  <c r="H119" i="7"/>
  <c r="H178" i="7" s="1"/>
  <c r="H177" i="7"/>
  <c r="H197" i="7" s="1"/>
  <c r="H120" i="7"/>
  <c r="H180" i="7" s="1"/>
  <c r="H179" i="7"/>
  <c r="H198" i="7" s="1"/>
  <c r="I434" i="7"/>
  <c r="I436" i="7"/>
  <c r="I440" i="7"/>
  <c r="I438" i="7"/>
  <c r="I119" i="7"/>
  <c r="I178" i="7" s="1"/>
  <c r="I136" i="7"/>
  <c r="H137" i="7"/>
  <c r="I120" i="7"/>
  <c r="I180" i="7" s="1"/>
  <c r="I137" i="7"/>
  <c r="H136" i="7"/>
  <c r="H131" i="7"/>
  <c r="H130" i="7"/>
  <c r="H167" i="7"/>
  <c r="H191" i="7" s="1"/>
  <c r="H127" i="7"/>
  <c r="H162" i="7"/>
  <c r="H188" i="7" s="1"/>
  <c r="H134" i="7"/>
  <c r="H174" i="7"/>
  <c r="H195" i="7" s="1"/>
  <c r="H194" i="7"/>
  <c r="H186" i="7"/>
  <c r="H189" i="7"/>
  <c r="H192" i="7"/>
  <c r="H185" i="7"/>
  <c r="H212" i="7"/>
  <c r="H213" i="7" s="1"/>
  <c r="H214" i="7"/>
  <c r="H215" i="7" s="1"/>
  <c r="H210" i="7"/>
  <c r="H211" i="7" s="1"/>
  <c r="I117" i="7"/>
  <c r="I175" i="7" s="1"/>
  <c r="I134" i="7"/>
  <c r="I116" i="7"/>
  <c r="I173" i="7" s="1"/>
  <c r="I133" i="7"/>
  <c r="I111" i="7"/>
  <c r="I165" i="7" s="1"/>
  <c r="I128" i="7"/>
  <c r="I114" i="7"/>
  <c r="I170" i="7" s="1"/>
  <c r="I131" i="7"/>
  <c r="H111" i="7"/>
  <c r="H165" i="7" s="1"/>
  <c r="H117" i="7"/>
  <c r="H175" i="7" s="1"/>
  <c r="I110" i="7"/>
  <c r="I163" i="7" s="1"/>
  <c r="I127" i="7"/>
  <c r="H128" i="7"/>
  <c r="H110" i="7"/>
  <c r="H163" i="7" s="1"/>
  <c r="H113" i="7"/>
  <c r="H168" i="7" s="1"/>
  <c r="H116" i="7"/>
  <c r="H173" i="7" s="1"/>
  <c r="H133" i="7"/>
  <c r="H114" i="7"/>
  <c r="H170" i="7" s="1"/>
  <c r="H259" i="7" l="1"/>
  <c r="H260" i="7" s="1"/>
  <c r="H261" i="7"/>
  <c r="H262" i="7" s="1"/>
  <c r="H278" i="7"/>
  <c r="H280" i="7"/>
  <c r="I337" i="7"/>
  <c r="F62" i="11"/>
  <c r="H231" i="7"/>
  <c r="H232" i="7" s="1"/>
  <c r="H241" i="7"/>
  <c r="H242" i="7" s="1"/>
  <c r="H243" i="7"/>
  <c r="H244" i="7" s="1"/>
  <c r="H390" i="7"/>
  <c r="H392" i="7"/>
  <c r="H446" i="7"/>
  <c r="H448" i="7"/>
  <c r="I335" i="7"/>
  <c r="F61" i="11"/>
  <c r="H371" i="7"/>
  <c r="H372" i="7" s="1"/>
  <c r="H373" i="7"/>
  <c r="H374" i="7" s="1"/>
  <c r="H427" i="7"/>
  <c r="H428" i="7" s="1"/>
  <c r="H429" i="7"/>
  <c r="H430" i="7" s="1"/>
  <c r="H334" i="7"/>
  <c r="H336" i="7"/>
  <c r="I281" i="7"/>
  <c r="F31" i="11"/>
  <c r="F124" i="11"/>
  <c r="I449" i="7"/>
  <c r="I393" i="7"/>
  <c r="F93" i="11"/>
  <c r="H315" i="7"/>
  <c r="H316" i="7" s="1"/>
  <c r="H317" i="7"/>
  <c r="H318" i="7" s="1"/>
  <c r="H483" i="7"/>
  <c r="H484" i="7" s="1"/>
  <c r="H485" i="7"/>
  <c r="H486" i="7" s="1"/>
  <c r="I279" i="7"/>
  <c r="F30" i="11"/>
  <c r="F123" i="11"/>
  <c r="I447" i="7"/>
  <c r="I391" i="7"/>
  <c r="F92" i="11"/>
  <c r="I389" i="7"/>
  <c r="F91" i="11"/>
  <c r="I445" i="7"/>
  <c r="F122" i="11"/>
  <c r="I387" i="7"/>
  <c r="F90" i="11"/>
  <c r="I443" i="7"/>
  <c r="F121" i="11"/>
  <c r="I277" i="7"/>
  <c r="F29" i="11"/>
  <c r="G59" i="11"/>
  <c r="J59" i="11"/>
  <c r="I59" i="11"/>
  <c r="G60" i="11"/>
  <c r="J60" i="11"/>
  <c r="I60" i="11"/>
  <c r="H479" i="7"/>
  <c r="H480" i="7" s="1"/>
  <c r="H477" i="7"/>
  <c r="H478" i="7" s="1"/>
  <c r="H481" i="7"/>
  <c r="H482" i="7" s="1"/>
  <c r="I275" i="7"/>
  <c r="F28" i="11"/>
  <c r="H440" i="7"/>
  <c r="H441" i="7" s="1"/>
  <c r="H442" i="7"/>
  <c r="H444" i="7"/>
  <c r="H421" i="7"/>
  <c r="H422" i="7" s="1"/>
  <c r="H423" i="7"/>
  <c r="H424" i="7" s="1"/>
  <c r="H425" i="7"/>
  <c r="H426" i="7" s="1"/>
  <c r="H380" i="7"/>
  <c r="H381" i="7" s="1"/>
  <c r="H388" i="7"/>
  <c r="H386" i="7"/>
  <c r="H384" i="7"/>
  <c r="H385" i="7" s="1"/>
  <c r="H369" i="7"/>
  <c r="H370" i="7" s="1"/>
  <c r="H365" i="7"/>
  <c r="H366" i="7" s="1"/>
  <c r="H367" i="7"/>
  <c r="H368" i="7" s="1"/>
  <c r="H326" i="7"/>
  <c r="F47" i="11" s="1"/>
  <c r="G47" i="11" s="1"/>
  <c r="H332" i="7"/>
  <c r="H328" i="7"/>
  <c r="H329" i="7" s="1"/>
  <c r="H330" i="7"/>
  <c r="H313" i="7"/>
  <c r="H314" i="7" s="1"/>
  <c r="H311" i="7"/>
  <c r="H312" i="7" s="1"/>
  <c r="H309" i="7"/>
  <c r="H310" i="7" s="1"/>
  <c r="H276" i="7"/>
  <c r="H272" i="7"/>
  <c r="H273" i="7" s="1"/>
  <c r="H274" i="7"/>
  <c r="H247" i="7"/>
  <c r="H248" i="7" s="1"/>
  <c r="H257" i="7"/>
  <c r="H258" i="7" s="1"/>
  <c r="H255" i="7"/>
  <c r="H256" i="7" s="1"/>
  <c r="H253" i="7"/>
  <c r="H254" i="7" s="1"/>
  <c r="H229" i="7"/>
  <c r="H230" i="7" s="1"/>
  <c r="H239" i="7"/>
  <c r="H240" i="7" s="1"/>
  <c r="H235" i="7"/>
  <c r="H236" i="7" s="1"/>
  <c r="H237" i="7"/>
  <c r="H238" i="7" s="1"/>
  <c r="H475" i="7"/>
  <c r="H476" i="7" s="1"/>
  <c r="H473" i="7"/>
  <c r="H474" i="7" s="1"/>
  <c r="H471" i="7"/>
  <c r="H472" i="7" s="1"/>
  <c r="H438" i="7"/>
  <c r="H436" i="7"/>
  <c r="H434" i="7"/>
  <c r="F118" i="11"/>
  <c r="I437" i="7"/>
  <c r="F117" i="11"/>
  <c r="I435" i="7"/>
  <c r="F119" i="11"/>
  <c r="I439" i="7"/>
  <c r="F120" i="11"/>
  <c r="I441" i="7"/>
  <c r="H233" i="7"/>
  <c r="H234" i="7" s="1"/>
  <c r="H382" i="7"/>
  <c r="H378" i="7"/>
  <c r="H270" i="7"/>
  <c r="F16" i="11" s="1"/>
  <c r="H266" i="7"/>
  <c r="H268" i="7"/>
  <c r="H249" i="7"/>
  <c r="H250" i="7" s="1"/>
  <c r="H324" i="7"/>
  <c r="H251" i="7"/>
  <c r="H252" i="7" s="1"/>
  <c r="H322" i="7"/>
  <c r="I253" i="7"/>
  <c r="I254" i="7" s="1"/>
  <c r="I251" i="7"/>
  <c r="I252" i="7" s="1"/>
  <c r="I249" i="7"/>
  <c r="I250" i="7" s="1"/>
  <c r="I247" i="7"/>
  <c r="I248" i="7" s="1"/>
  <c r="I365" i="7"/>
  <c r="I366" i="7" s="1"/>
  <c r="I363" i="7"/>
  <c r="I364" i="7" s="1"/>
  <c r="I361" i="7"/>
  <c r="I362" i="7" s="1"/>
  <c r="I359" i="7"/>
  <c r="I360" i="7" s="1"/>
  <c r="I272" i="7"/>
  <c r="F27" i="11" s="1"/>
  <c r="I270" i="7"/>
  <c r="F26" i="11" s="1"/>
  <c r="I268" i="7"/>
  <c r="F25" i="11" s="1"/>
  <c r="I266" i="7"/>
  <c r="F24" i="11" s="1"/>
  <c r="I235" i="7"/>
  <c r="I236" i="7" s="1"/>
  <c r="I233" i="7"/>
  <c r="I234" i="7" s="1"/>
  <c r="I231" i="7"/>
  <c r="I232" i="7" s="1"/>
  <c r="I229" i="7"/>
  <c r="I230" i="7" s="1"/>
  <c r="I421" i="7"/>
  <c r="I422" i="7" s="1"/>
  <c r="I419" i="7"/>
  <c r="I420" i="7" s="1"/>
  <c r="I417" i="7"/>
  <c r="I418" i="7" s="1"/>
  <c r="I415" i="7"/>
  <c r="I416" i="7" s="1"/>
  <c r="I328" i="7"/>
  <c r="I326" i="7"/>
  <c r="I324" i="7"/>
  <c r="I322" i="7"/>
  <c r="F55" i="11" s="1"/>
  <c r="I384" i="7"/>
  <c r="I382" i="7"/>
  <c r="I380" i="7"/>
  <c r="I378" i="7"/>
  <c r="F86" i="11" s="1"/>
  <c r="I309" i="7"/>
  <c r="I310" i="7" s="1"/>
  <c r="I307" i="7"/>
  <c r="I308" i="7" s="1"/>
  <c r="I305" i="7"/>
  <c r="I306" i="7" s="1"/>
  <c r="I303" i="7"/>
  <c r="I304" i="7" s="1"/>
  <c r="H419" i="7"/>
  <c r="H420" i="7" s="1"/>
  <c r="H417" i="7"/>
  <c r="H418" i="7" s="1"/>
  <c r="H415" i="7"/>
  <c r="H416" i="7" s="1"/>
  <c r="H363" i="7"/>
  <c r="H364" i="7" s="1"/>
  <c r="H361" i="7"/>
  <c r="H362" i="7" s="1"/>
  <c r="H359" i="7"/>
  <c r="H360" i="7" s="1"/>
  <c r="H307" i="7"/>
  <c r="H308" i="7" s="1"/>
  <c r="H305" i="7"/>
  <c r="H306" i="7" s="1"/>
  <c r="H303" i="7"/>
  <c r="H304" i="7" s="1"/>
  <c r="G124" i="11" l="1"/>
  <c r="J124" i="11"/>
  <c r="I124" i="11"/>
  <c r="H335" i="7"/>
  <c r="F51" i="11"/>
  <c r="H447" i="7"/>
  <c r="F113" i="11"/>
  <c r="H281" i="7"/>
  <c r="F21" i="11"/>
  <c r="G93" i="11"/>
  <c r="I93" i="11"/>
  <c r="J93" i="11"/>
  <c r="G31" i="11"/>
  <c r="J31" i="11"/>
  <c r="I31" i="11"/>
  <c r="G61" i="11"/>
  <c r="I61" i="11"/>
  <c r="J61" i="11"/>
  <c r="H393" i="7"/>
  <c r="F83" i="11"/>
  <c r="H279" i="7"/>
  <c r="F20" i="11"/>
  <c r="G123" i="11"/>
  <c r="J123" i="11"/>
  <c r="I123" i="11"/>
  <c r="H391" i="7"/>
  <c r="F82" i="11"/>
  <c r="G62" i="11"/>
  <c r="I62" i="11"/>
  <c r="J62" i="11"/>
  <c r="G92" i="11"/>
  <c r="I92" i="11"/>
  <c r="J92" i="11"/>
  <c r="G30" i="11"/>
  <c r="I30" i="11"/>
  <c r="J30" i="11"/>
  <c r="H337" i="7"/>
  <c r="F52" i="11"/>
  <c r="H449" i="7"/>
  <c r="F114" i="11"/>
  <c r="H275" i="7"/>
  <c r="F18" i="11"/>
  <c r="H333" i="7"/>
  <c r="F50" i="11"/>
  <c r="H445" i="7"/>
  <c r="F112" i="11"/>
  <c r="G121" i="11"/>
  <c r="J121" i="11"/>
  <c r="I121" i="11"/>
  <c r="G122" i="11"/>
  <c r="I122" i="11"/>
  <c r="J122" i="11"/>
  <c r="H443" i="7"/>
  <c r="F111" i="11"/>
  <c r="H277" i="7"/>
  <c r="F19" i="11"/>
  <c r="H331" i="7"/>
  <c r="F49" i="11"/>
  <c r="H387" i="7"/>
  <c r="F80" i="11"/>
  <c r="G29" i="11"/>
  <c r="J29" i="11"/>
  <c r="I29" i="11"/>
  <c r="G90" i="11"/>
  <c r="I90" i="11"/>
  <c r="J90" i="11"/>
  <c r="G91" i="11"/>
  <c r="J91" i="11"/>
  <c r="I91" i="11"/>
  <c r="H389" i="7"/>
  <c r="F81" i="11"/>
  <c r="G28" i="11"/>
  <c r="J28" i="11"/>
  <c r="I28" i="11"/>
  <c r="F77" i="11"/>
  <c r="I77" i="11" s="1"/>
  <c r="I47" i="11"/>
  <c r="J47" i="11"/>
  <c r="F17" i="11"/>
  <c r="I17" i="11" s="1"/>
  <c r="H327" i="7"/>
  <c r="H271" i="7"/>
  <c r="I383" i="7"/>
  <c r="F88" i="11"/>
  <c r="I327" i="7"/>
  <c r="F57" i="11"/>
  <c r="J26" i="11"/>
  <c r="I26" i="11"/>
  <c r="G26" i="11"/>
  <c r="H325" i="7"/>
  <c r="F46" i="11"/>
  <c r="H267" i="7"/>
  <c r="F14" i="11"/>
  <c r="H379" i="7"/>
  <c r="F76" i="11"/>
  <c r="G120" i="11"/>
  <c r="I120" i="11"/>
  <c r="J120" i="11"/>
  <c r="I117" i="11"/>
  <c r="G117" i="11"/>
  <c r="J117" i="11"/>
  <c r="H435" i="7"/>
  <c r="F107" i="11"/>
  <c r="I385" i="7"/>
  <c r="F89" i="11"/>
  <c r="I329" i="7"/>
  <c r="F58" i="11"/>
  <c r="J27" i="11"/>
  <c r="I27" i="11"/>
  <c r="G27" i="11"/>
  <c r="I16" i="11"/>
  <c r="G16" i="11"/>
  <c r="J16" i="11"/>
  <c r="H383" i="7"/>
  <c r="F78" i="11"/>
  <c r="H437" i="7"/>
  <c r="F108" i="11"/>
  <c r="G86" i="11"/>
  <c r="J86" i="11"/>
  <c r="I86" i="11"/>
  <c r="G55" i="11"/>
  <c r="J55" i="11"/>
  <c r="I55" i="11"/>
  <c r="J24" i="11"/>
  <c r="I24" i="11"/>
  <c r="G24" i="11"/>
  <c r="H323" i="7"/>
  <c r="F45" i="11"/>
  <c r="F79" i="11"/>
  <c r="G119" i="11"/>
  <c r="I119" i="11"/>
  <c r="J119" i="11"/>
  <c r="J118" i="11"/>
  <c r="G118" i="11"/>
  <c r="I118" i="11"/>
  <c r="F110" i="11"/>
  <c r="I381" i="7"/>
  <c r="F87" i="11"/>
  <c r="I325" i="7"/>
  <c r="F56" i="11"/>
  <c r="G25" i="11"/>
  <c r="I25" i="11"/>
  <c r="J25" i="11"/>
  <c r="H269" i="7"/>
  <c r="F15" i="11"/>
  <c r="F48" i="11"/>
  <c r="H439" i="7"/>
  <c r="F109" i="11"/>
  <c r="I271" i="7"/>
  <c r="I323" i="7"/>
  <c r="I269" i="7"/>
  <c r="I379" i="7"/>
  <c r="I273" i="7"/>
  <c r="I267" i="7"/>
  <c r="G114" i="11" l="1"/>
  <c r="I114" i="11"/>
  <c r="J114" i="11"/>
  <c r="G83" i="11"/>
  <c r="I83" i="11"/>
  <c r="J83" i="11"/>
  <c r="G82" i="11"/>
  <c r="I82" i="11"/>
  <c r="J82" i="11"/>
  <c r="G113" i="11"/>
  <c r="J113" i="11"/>
  <c r="I113" i="11"/>
  <c r="G52" i="11"/>
  <c r="I52" i="11"/>
  <c r="J52" i="11"/>
  <c r="G20" i="11"/>
  <c r="I20" i="11"/>
  <c r="J20" i="11"/>
  <c r="G21" i="11"/>
  <c r="I21" i="11"/>
  <c r="J21" i="11"/>
  <c r="G51" i="11"/>
  <c r="I51" i="11"/>
  <c r="J51" i="11"/>
  <c r="G77" i="11"/>
  <c r="J77" i="11"/>
  <c r="G80" i="11"/>
  <c r="J80" i="11"/>
  <c r="I80" i="11"/>
  <c r="G19" i="11"/>
  <c r="J19" i="11"/>
  <c r="I19" i="11"/>
  <c r="G50" i="11"/>
  <c r="I50" i="11"/>
  <c r="J50" i="11"/>
  <c r="G81" i="11"/>
  <c r="I81" i="11"/>
  <c r="J81" i="11"/>
  <c r="G49" i="11"/>
  <c r="I49" i="11"/>
  <c r="J49" i="11"/>
  <c r="G111" i="11"/>
  <c r="I111" i="11"/>
  <c r="J111" i="11"/>
  <c r="G112" i="11"/>
  <c r="J112" i="11"/>
  <c r="I112" i="11"/>
  <c r="G18" i="11"/>
  <c r="I18" i="11"/>
  <c r="J18" i="11"/>
  <c r="J17" i="11"/>
  <c r="G17" i="11"/>
  <c r="J15" i="11"/>
  <c r="G15" i="11"/>
  <c r="I15" i="11"/>
  <c r="G57" i="11"/>
  <c r="I57" i="11"/>
  <c r="J57" i="11"/>
  <c r="G109" i="11"/>
  <c r="J109" i="11"/>
  <c r="I109" i="11"/>
  <c r="G56" i="11"/>
  <c r="J56" i="11"/>
  <c r="I56" i="11"/>
  <c r="I110" i="11"/>
  <c r="J110" i="11"/>
  <c r="G110" i="11"/>
  <c r="G79" i="11"/>
  <c r="J79" i="11"/>
  <c r="I79" i="11"/>
  <c r="G108" i="11"/>
  <c r="I108" i="11"/>
  <c r="J108" i="11"/>
  <c r="G89" i="11"/>
  <c r="I89" i="11"/>
  <c r="J89" i="11"/>
  <c r="G14" i="11"/>
  <c r="J14" i="11"/>
  <c r="I14" i="11"/>
  <c r="I45" i="11"/>
  <c r="G45" i="11"/>
  <c r="J45" i="11"/>
  <c r="G88" i="11"/>
  <c r="I88" i="11"/>
  <c r="J88" i="11"/>
  <c r="G48" i="11"/>
  <c r="I48" i="11"/>
  <c r="J48" i="11"/>
  <c r="G87" i="11"/>
  <c r="J87" i="11"/>
  <c r="I87" i="11"/>
  <c r="G78" i="11"/>
  <c r="I78" i="11"/>
  <c r="J78" i="11"/>
  <c r="G58" i="11"/>
  <c r="J58" i="11"/>
  <c r="I58" i="11"/>
  <c r="I107" i="11"/>
  <c r="J107" i="11"/>
  <c r="G107" i="11"/>
  <c r="G76" i="11"/>
  <c r="J76" i="11"/>
  <c r="I76" i="11"/>
  <c r="G46" i="11"/>
  <c r="J46" i="11"/>
  <c r="I46" i="11"/>
</calcChain>
</file>

<file path=xl/sharedStrings.xml><?xml version="1.0" encoding="utf-8"?>
<sst xmlns="http://schemas.openxmlformats.org/spreadsheetml/2006/main" count="2583" uniqueCount="354">
  <si>
    <t>Il parametro da analizzare risulta sostanzialmente sempre lo spostamento in direzione trasversale alle superifici dei pannelli.</t>
  </si>
  <si>
    <t>Per sopperire alle diverse lunghezze, riporteremo i risultati come rapporto fra la freccia e la lunghezza della beam.</t>
  </si>
  <si>
    <t>CELLA 2</t>
  </si>
  <si>
    <t>CELLA 4</t>
  </si>
  <si>
    <t>Dimensioni cella</t>
  </si>
  <si>
    <r>
      <t>b</t>
    </r>
    <r>
      <rPr>
        <vertAlign val="subscript"/>
        <sz val="11"/>
        <color theme="1"/>
        <rFont val="Calibri"/>
        <family val="2"/>
        <scheme val="minor"/>
      </rPr>
      <t>t</t>
    </r>
  </si>
  <si>
    <t>(mm)</t>
  </si>
  <si>
    <r>
      <t>h</t>
    </r>
    <r>
      <rPr>
        <vertAlign val="subscript"/>
        <sz val="11"/>
        <color theme="1"/>
        <rFont val="Calibri"/>
        <family val="2"/>
        <scheme val="minor"/>
      </rPr>
      <t>t</t>
    </r>
  </si>
  <si>
    <t>ω</t>
  </si>
  <si>
    <t>(rad)</t>
  </si>
  <si>
    <t>(°)</t>
  </si>
  <si>
    <r>
      <t>l</t>
    </r>
    <r>
      <rPr>
        <vertAlign val="subscript"/>
        <sz val="11"/>
        <color theme="1"/>
        <rFont val="Calibri"/>
        <family val="2"/>
        <scheme val="minor"/>
      </rPr>
      <t>t</t>
    </r>
  </si>
  <si>
    <t>n° celle</t>
  </si>
  <si>
    <r>
      <t>L</t>
    </r>
    <r>
      <rPr>
        <vertAlign val="subscript"/>
        <sz val="11"/>
        <color theme="1"/>
        <rFont val="Calibri"/>
        <family val="2"/>
        <scheme val="minor"/>
      </rPr>
      <t>1</t>
    </r>
  </si>
  <si>
    <r>
      <t>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</si>
  <si>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</si>
  <si>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</si>
  <si>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Diametro del truss element</t>
  </si>
  <si>
    <r>
      <t>d</t>
    </r>
    <r>
      <rPr>
        <vertAlign val="subscript"/>
        <sz val="11"/>
        <color theme="1"/>
        <rFont val="Calibri"/>
        <family val="2"/>
        <scheme val="minor"/>
      </rPr>
      <t>t.1</t>
    </r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</si>
  <si>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</si>
  <si>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  <r>
      <rPr>
        <sz val="11"/>
        <color theme="1"/>
        <rFont val="Calibri"/>
        <family val="2"/>
        <scheme val="minor"/>
      </rPr>
      <t/>
    </r>
  </si>
  <si>
    <t>Spessore glass pane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</si>
  <si>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</si>
  <si>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Spessore truss core</t>
  </si>
  <si>
    <t>c</t>
  </si>
  <si>
    <t>h</t>
  </si>
  <si>
    <t>Distanza piani mediani</t>
  </si>
  <si>
    <t>d</t>
  </si>
  <si>
    <t>Proprietà materiali</t>
  </si>
  <si>
    <t>Riportate diverse possibilità per il core a fini di studio</t>
  </si>
  <si>
    <t>(faces)</t>
  </si>
  <si>
    <t>Vetro</t>
  </si>
  <si>
    <t>modulo elastico</t>
  </si>
  <si>
    <r>
      <t>E</t>
    </r>
    <r>
      <rPr>
        <vertAlign val="subscript"/>
        <sz val="11"/>
        <color theme="1"/>
        <rFont val="Calibri"/>
        <family val="2"/>
        <scheme val="minor"/>
      </rPr>
      <t>f</t>
    </r>
  </si>
  <si>
    <t>(MPa)</t>
  </si>
  <si>
    <t>modulo a taglio</t>
  </si>
  <si>
    <r>
      <t>G</t>
    </r>
    <r>
      <rPr>
        <vertAlign val="subscript"/>
        <sz val="11"/>
        <color theme="1"/>
        <rFont val="Calibri"/>
        <family val="2"/>
        <scheme val="minor"/>
      </rPr>
      <t>f</t>
    </r>
  </si>
  <si>
    <t>(core 1)</t>
  </si>
  <si>
    <t>PETG</t>
  </si>
  <si>
    <r>
      <t>E</t>
    </r>
    <r>
      <rPr>
        <vertAlign val="subscript"/>
        <sz val="11"/>
        <color theme="1"/>
        <rFont val="Calibri"/>
        <family val="2"/>
        <scheme val="minor"/>
      </rPr>
      <t>c</t>
    </r>
  </si>
  <si>
    <r>
      <t>G</t>
    </r>
    <r>
      <rPr>
        <vertAlign val="subscript"/>
        <sz val="11"/>
        <color theme="1"/>
        <rFont val="Calibri"/>
        <family val="2"/>
        <scheme val="minor"/>
      </rPr>
      <t>c</t>
    </r>
  </si>
  <si>
    <t>(core 2)</t>
  </si>
  <si>
    <t>Acciaio</t>
  </si>
  <si>
    <r>
      <t xml:space="preserve">Proprietà di un </t>
    </r>
    <r>
      <rPr>
        <b/>
        <i/>
        <sz val="11"/>
        <color theme="1"/>
        <rFont val="Calibri"/>
        <family val="2"/>
        <scheme val="minor"/>
      </rPr>
      <t>core omogeneo equivalente al truss core</t>
    </r>
  </si>
  <si>
    <r>
      <t>E</t>
    </r>
    <r>
      <rPr>
        <vertAlign val="subscript"/>
        <sz val="11"/>
        <color theme="1"/>
        <rFont val="Calibri"/>
        <family val="2"/>
        <scheme val="minor"/>
      </rPr>
      <t>33</t>
    </r>
  </si>
  <si>
    <r>
      <t>G</t>
    </r>
    <r>
      <rPr>
        <vertAlign val="subscript"/>
        <sz val="11"/>
        <color theme="1"/>
        <rFont val="Calibri"/>
        <family val="2"/>
        <scheme val="minor"/>
      </rPr>
      <t>13</t>
    </r>
  </si>
  <si>
    <t>Si tratta del risultato di diversi contributi (vedi figura sx):</t>
  </si>
  <si>
    <t>1) momento di inerzia della sezione del glass pane (moltiplicato per 2 avendo due pannelli)</t>
  </si>
  <si>
    <t>3) momento d'inerzia della sezione del core</t>
  </si>
  <si>
    <t>Definizione dei casi</t>
  </si>
  <si>
    <t>Caso limite 1: empty core</t>
  </si>
  <si>
    <t>I due glass panes sono tenuti insieme da un materiale con resistenza praticamente nulla rispetto a quella del vetro (come se fosse aria)</t>
  </si>
  <si>
    <t>I panes si comportano come se fossero praticamente indipendenti, la rigidezza deriva soltanto dal contributo "1"</t>
  </si>
  <si>
    <t>Caso limite 2: full core</t>
  </si>
  <si>
    <t>I due glass panes sono tenuti insieme da un core pieno, in grado di trasmettere il taglio da una faccia all'altra della beam</t>
  </si>
  <si>
    <t>I panes non sono più indipendenti, nella rigidezza concorrono i contributi "1", "2" e "3"</t>
  </si>
  <si>
    <t>Caso truss-core</t>
  </si>
  <si>
    <t>Si colloca idealmente fra i due casi limite sopra descritti</t>
  </si>
  <si>
    <t>NB: le proprietà di riferimento del core sono quelle del core omogeneo equivalente al truss core</t>
  </si>
  <si>
    <t>Ipotesi di facce sottili: se i glass panes sono sufficientemente sottili,  il loro</t>
  </si>
  <si>
    <t>contributo locale di rigidezza è trascurabile, trascurare il primo termine di D</t>
  </si>
  <si>
    <t>d/t</t>
  </si>
  <si>
    <t>(-)</t>
  </si>
  <si>
    <t>Il materiale del core è poco rigido rispetto a quello delle facce: trascurare il</t>
  </si>
  <si>
    <t>terzo termine di "D"</t>
  </si>
  <si>
    <t>Risultati per:</t>
  </si>
  <si>
    <t>full core 1</t>
  </si>
  <si>
    <t>full core 2</t>
  </si>
  <si>
    <t>truss core 1</t>
  </si>
  <si>
    <t>truss core 2</t>
  </si>
  <si>
    <t>La tensione a taglio è uniforme lungo lo spessore del core</t>
  </si>
  <si>
    <t>Ipotesi di facce molto sottili: la rigidezza a taglio "AG" si semplifica come indicato</t>
  </si>
  <si>
    <r>
      <t xml:space="preserve">Rigidezza a flessione </t>
    </r>
    <r>
      <rPr>
        <b/>
        <i/>
        <sz val="11"/>
        <color theme="1"/>
        <rFont val="Calibri"/>
        <family val="2"/>
        <scheme val="minor"/>
      </rPr>
      <t>D</t>
    </r>
  </si>
  <si>
    <t>1° termine</t>
  </si>
  <si>
    <t>2° termine</t>
  </si>
  <si>
    <t>Mai trascurabile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</si>
  <si>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non dipende da t →</t>
    </r>
  </si>
  <si>
    <t>3° termine per:</t>
  </si>
  <si>
    <t>D = Termine_1+Termine_2+Termine_3 (salvo trascurabili)</t>
  </si>
  <si>
    <t>D</t>
  </si>
  <si>
    <t>empty core</t>
  </si>
  <si>
    <r>
      <t>STUDIO AFFIDABILIT</t>
    </r>
    <r>
      <rPr>
        <sz val="11"/>
        <color theme="1"/>
        <rFont val="Calibri"/>
        <family val="2"/>
      </rPr>
      <t xml:space="preserve">À MODELLO </t>
    </r>
    <r>
      <rPr>
        <b/>
        <i/>
        <sz val="11"/>
        <color theme="1"/>
        <rFont val="Calibri"/>
        <family val="2"/>
      </rPr>
      <t>FEM</t>
    </r>
  </si>
  <si>
    <t>Operando un confronto fra soluzioni analitiche e soluzioni riportate dal FEM si intuisce l'affidabilità di quest'ultimo</t>
  </si>
  <si>
    <t>A livello analitico si individuano i risultati per empty core (no contributo di rigidezza a taglio "AG") e full core</t>
  </si>
  <si>
    <t>La freccia del FEM si colloca presumibilmente fra i due valori analitici</t>
  </si>
  <si>
    <t>Carico puntuale al mid-span</t>
  </si>
  <si>
    <t>Freccia</t>
  </si>
  <si>
    <t>w</t>
  </si>
  <si>
    <t>Empty core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</si>
  <si>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se la freccia eccede metà</t>
    </r>
  </si>
  <si>
    <t xml:space="preserve">lunghezza della trave si riporta </t>
  </si>
  <si>
    <t>"senza senso" →</t>
  </si>
  <si>
    <t>Senza contributo di AG</t>
  </si>
  <si>
    <t>Full core 1</t>
  </si>
  <si>
    <t>Full core 2</t>
  </si>
  <si>
    <t>Truss core 1</t>
  </si>
  <si>
    <t>Truss core 2</t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</si>
  <si>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</si>
  <si>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</si>
  <si>
    <r>
      <t>t</t>
    </r>
    <r>
      <rPr>
        <vertAlign val="subscript"/>
        <sz val="11"/>
        <color theme="1"/>
        <rFont val="Calibri"/>
        <family val="2"/>
        <scheme val="minor"/>
      </rPr>
      <t>2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</si>
  <si>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</si>
  <si>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r>
      <t>d</t>
    </r>
    <r>
      <rPr>
        <vertAlign val="subscript"/>
        <sz val="11"/>
        <color theme="1"/>
        <rFont val="Calibri"/>
        <family val="2"/>
        <scheme val="minor"/>
      </rPr>
      <t>t,1</t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</si>
  <si>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</si>
  <si>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</si>
  <si>
    <t>FEM</t>
  </si>
  <si>
    <t>Pannello superiore</t>
  </si>
  <si>
    <t>Pannello inferiore</t>
  </si>
  <si>
    <t>ANALISI PARAMETRICA</t>
  </si>
  <si>
    <t>Valutare il rapporto fra i valori delle varie frecce della trave (ottenute tramite diversi metodi, derivanti da diversi contributi) rispetto a quella analitica completa (contributi flessionale+a taglio)</t>
  </si>
  <si>
    <t>Diverse analisi, diversi parametri che vengono fatti variare, singolarmente o insieme</t>
  </si>
  <si>
    <t>Dove i:</t>
  </si>
  <si>
    <t>- analitica tot</t>
  </si>
  <si>
    <t>- FEM: presa al pannello superiore, poiché se io applicassi una F ad una faccia del composito in un esperimento, lo spostamento lo misurerei sulla sup. opposta</t>
  </si>
  <si>
    <t>mm</t>
  </si>
  <si>
    <t>L (mm)</t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</si>
  <si>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</si>
  <si>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</si>
  <si>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</si>
  <si>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</si>
  <si>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t>Lato pannello</t>
  </si>
  <si>
    <t>Confronto sulle prestazioni meccaniche di diverse celle applicate su sandwich panel quadrati di dimensioni possibilmente simili.</t>
  </si>
  <si>
    <t>Le dimensioni dei pannelli dipendono dalle dimensioni delle celle, per questo non è possibile ottenere pannelli del tutto uguali.</t>
  </si>
  <si>
    <t>Spessore pannello</t>
  </si>
  <si>
    <t>Rigidezza di un sandwich panel</t>
  </si>
  <si>
    <t>2) momento di trasporto della sezione del pane rispetto all'asse centrale del pannello - che cade all'interno del core (moltiplicato per 2)</t>
  </si>
  <si>
    <t>Considerata del tutto simile a quella della sandwich beam, a meno della dimensione della larghezza "b" che in un panel è più rilevante</t>
  </si>
  <si>
    <t>Nei calcoli che seguiranno si terrà conto delle due dimensioni legandole col modulo di Poisson</t>
  </si>
  <si>
    <r>
      <t xml:space="preserve">Condizioni particolari per la semplificazione delle formule delle propr. eq. </t>
    </r>
    <r>
      <rPr>
        <sz val="11"/>
        <color rgb="FFFF0000"/>
        <rFont val="Calibri"/>
        <family val="2"/>
        <scheme val="minor"/>
      </rPr>
      <t>(CELLE NASCOSTE)</t>
    </r>
  </si>
  <si>
    <r>
      <t>PROPRIET</t>
    </r>
    <r>
      <rPr>
        <sz val="11"/>
        <color theme="1"/>
        <rFont val="Calibri"/>
        <family val="2"/>
      </rPr>
      <t>À EQUIVALENTI DEL PANNELLO SANDWICH</t>
    </r>
  </si>
  <si>
    <t>modulo di Poisson</t>
  </si>
  <si>
    <t>ν</t>
  </si>
  <si>
    <t>Nota: che modulo di Poisson usare?</t>
  </si>
  <si>
    <t>Per ora considerato solo quello del vetro</t>
  </si>
  <si>
    <t>NB: SI APPLICA ANCHE AI PANNELLI?</t>
  </si>
  <si>
    <r>
      <t>w/L</t>
    </r>
    <r>
      <rPr>
        <vertAlign val="subscript"/>
        <sz val="11"/>
        <color theme="1"/>
        <rFont val="Calibri"/>
        <family val="2"/>
        <scheme val="minor"/>
      </rPr>
      <t>1</t>
    </r>
  </si>
  <si>
    <r>
      <t>w/L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</si>
  <si>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w/L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</si>
  <si>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w/L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</si>
  <si>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q</t>
  </si>
  <si>
    <t>α</t>
  </si>
  <si>
    <r>
      <t>(N/mm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</si>
  <si>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Nota:</t>
  </si>
  <si>
    <t>Non sapendo come definire un modulo di Poisson equivalente per il truss core</t>
  </si>
  <si>
    <t>si considera quello del vetro, che è alla fine il materiale dominante nel determinare</t>
  </si>
  <si>
    <t>la rigidezza flessionale del pannello (i contributi del truss core in PETG sono trascurabili)</t>
  </si>
  <si>
    <t>(N mm)</t>
  </si>
  <si>
    <t>di ogni pannello →</t>
  </si>
  <si>
    <t>CELLA 5</t>
  </si>
  <si>
    <t>Celle facoltative</t>
  </si>
  <si>
    <r>
      <t>d</t>
    </r>
    <r>
      <rPr>
        <vertAlign val="subscript"/>
        <sz val="11"/>
        <color theme="1"/>
        <rFont val="Calibri"/>
        <family val="2"/>
        <scheme val="minor"/>
      </rPr>
      <t>t.4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</si>
  <si>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t.4</t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</si>
  <si>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</si>
  <si>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FE</t>
    </r>
  </si>
  <si>
    <r>
      <t>L</t>
    </r>
    <r>
      <rPr>
        <vertAlign val="subscript"/>
        <sz val="11"/>
        <color theme="1"/>
        <rFont val="Calibri"/>
        <family val="2"/>
        <scheme val="minor"/>
      </rPr>
      <t>5</t>
    </r>
  </si>
  <si>
    <r>
      <t>L</t>
    </r>
    <r>
      <rPr>
        <vertAlign val="subscript"/>
        <sz val="11"/>
        <color theme="1"/>
        <rFont val="Calibri"/>
        <family val="2"/>
        <scheme val="minor"/>
      </rPr>
      <t>6</t>
    </r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</si>
  <si>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si considera il nodo centrale</t>
    </r>
  </si>
  <si>
    <r>
      <t>w/L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</si>
  <si>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w/L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</si>
  <si>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</si>
  <si>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</si>
  <si>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7</t>
    </r>
  </si>
  <si>
    <r>
      <t>w/L</t>
    </r>
    <r>
      <rPr>
        <vertAlign val="subscript"/>
        <sz val="11"/>
        <color theme="1"/>
        <rFont val="Calibri"/>
        <family val="2"/>
        <scheme val="minor"/>
      </rPr>
      <t>7</t>
    </r>
  </si>
  <si>
    <t>ANALISI DELLA FRECCIA MASSIMA</t>
  </si>
  <si>
    <r>
      <t>Ogni grafico presenta l'evoluzione della freccia massima del pannello conseguenza del carico distribuito ricevuto di 1kN/m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</t>
    </r>
  </si>
  <si>
    <t>Ogni singola curva è ricavata:</t>
  </si>
  <si>
    <r>
      <t>-  mantenendo il diametro dell'elemento del truss core d</t>
    </r>
    <r>
      <rPr>
        <vertAlign val="subscript"/>
        <sz val="11"/>
        <color theme="1"/>
        <rFont val="Calibri"/>
        <family val="2"/>
        <scheme val="minor"/>
      </rPr>
      <t>t,</t>
    </r>
    <r>
      <rPr>
        <i/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cost. ;</t>
    </r>
  </si>
  <si>
    <r>
      <t xml:space="preserve">-  mantenendo l'angolo alla sommità </t>
    </r>
    <r>
      <rPr>
        <sz val="11"/>
        <color theme="1"/>
        <rFont val="Calibri"/>
        <family val="2"/>
      </rPr>
      <t>ω = cost. (quindi la curva è redatta anche in base al tipo di cella)</t>
    </r>
    <r>
      <rPr>
        <sz val="11"/>
        <color theme="1"/>
        <rFont val="Calibri"/>
        <family val="2"/>
        <scheme val="minor"/>
      </rPr>
      <t>;</t>
    </r>
  </si>
  <si>
    <t>-  in base alla lunghezza "L" del lato del pannello.</t>
  </si>
  <si>
    <t>-  considerando la freccia del pannello superiore fornita dal modello FEM;</t>
  </si>
  <si>
    <r>
      <t>La deflessione limite "w</t>
    </r>
    <r>
      <rPr>
        <vertAlign val="subscript"/>
        <sz val="9.35"/>
        <color theme="1"/>
        <rFont val="Calibri"/>
        <family val="2"/>
      </rPr>
      <t>lim</t>
    </r>
    <r>
      <rPr>
        <sz val="11"/>
        <color theme="1"/>
        <rFont val="Calibri"/>
        <family val="2"/>
        <scheme val="minor"/>
      </rPr>
      <t>" che può assumere il pannello è normata; è funzione di L ed è data dalla formula:</t>
    </r>
  </si>
  <si>
    <r>
      <t>w</t>
    </r>
    <r>
      <rPr>
        <vertAlign val="subscript"/>
        <sz val="11"/>
        <color theme="1"/>
        <rFont val="Calibri"/>
        <family val="2"/>
        <scheme val="minor"/>
      </rPr>
      <t>lim</t>
    </r>
  </si>
  <si>
    <t>CELLA 6</t>
  </si>
  <si>
    <r>
      <t>L</t>
    </r>
    <r>
      <rPr>
        <vertAlign val="subscript"/>
        <sz val="11"/>
        <color theme="1"/>
        <rFont val="Calibri"/>
        <family val="2"/>
        <scheme val="minor"/>
      </rPr>
      <t>8</t>
    </r>
  </si>
  <si>
    <r>
      <t>w/L</t>
    </r>
    <r>
      <rPr>
        <vertAlign val="subscript"/>
        <sz val="11"/>
        <color theme="1"/>
        <rFont val="Calibri"/>
        <family val="2"/>
        <scheme val="minor"/>
      </rPr>
      <t>8</t>
    </r>
  </si>
  <si>
    <r>
      <t>Per interpolazione lineare ottengo il valore di lato del pannello "L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" per cui si eccede la freccia limite consentita "w</t>
    </r>
    <r>
      <rPr>
        <vertAlign val="subscript"/>
        <sz val="11"/>
        <color theme="1"/>
        <rFont val="Calibri"/>
        <family val="2"/>
        <scheme val="minor"/>
      </rPr>
      <t>lim</t>
    </r>
    <r>
      <rPr>
        <sz val="11"/>
        <color theme="1"/>
        <rFont val="Calibri"/>
        <family val="2"/>
        <scheme val="minor"/>
      </rPr>
      <t>"</t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</si>
  <si>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</si>
  <si>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  <r>
      <rPr>
        <sz val="11"/>
        <color theme="1"/>
        <rFont val="Calibri"/>
        <family val="2"/>
        <scheme val="minor"/>
      </rPr>
      <t/>
    </r>
  </si>
  <si>
    <t>A</t>
  </si>
  <si>
    <t>B</t>
  </si>
  <si>
    <r>
      <t xml:space="preserve">VALORI DI </t>
    </r>
    <r>
      <rPr>
        <b/>
        <i/>
        <sz val="11"/>
        <color theme="1"/>
        <rFont val="Calibri"/>
        <family val="2"/>
        <scheme val="minor"/>
      </rPr>
      <t>L</t>
    </r>
    <r>
      <rPr>
        <b/>
        <i/>
        <vertAlign val="subscript"/>
        <sz val="11"/>
        <color theme="1"/>
        <rFont val="Calibri"/>
        <family val="2"/>
        <scheme val="minor"/>
      </rPr>
      <t>max</t>
    </r>
  </si>
  <si>
    <r>
      <t>- Dall'equazione della retta fra due punti consecutivi di 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 xml:space="preserve"> si ottiene una forma con due soli coefficienti "A" e "B" riportati in tabella</t>
    </r>
  </si>
  <si>
    <r>
      <t>- L'equazione della lunghezza massima "L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" perciò è:</t>
    </r>
  </si>
  <si>
    <r>
      <t>- L'equazione della freccia limite "w</t>
    </r>
    <r>
      <rPr>
        <vertAlign val="subscript"/>
        <sz val="11"/>
        <color theme="1"/>
        <rFont val="Calibri"/>
        <family val="2"/>
        <scheme val="minor"/>
      </rPr>
      <t>lim</t>
    </r>
    <r>
      <rPr>
        <sz val="11"/>
        <color theme="1"/>
        <rFont val="Calibri"/>
        <family val="2"/>
        <scheme val="minor"/>
      </rPr>
      <t>" è:</t>
    </r>
  </si>
  <si>
    <r>
      <t>L</t>
    </r>
    <r>
      <rPr>
        <vertAlign val="subscript"/>
        <sz val="11"/>
        <color theme="1"/>
        <rFont val="Calibri"/>
        <family val="2"/>
        <scheme val="minor"/>
      </rPr>
      <t>max</t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</si>
  <si>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  <r>
      <rPr>
        <sz val="11"/>
        <color theme="1"/>
        <rFont val="Calibri"/>
        <family val="2"/>
        <scheme val="minor"/>
      </rPr>
      <t/>
    </r>
  </si>
  <si>
    <t>GRAFICO DI PROGETTO</t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</si>
  <si>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</si>
  <si>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</si>
  <si>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</si>
  <si>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/b</t>
    </r>
    <r>
      <rPr>
        <vertAlign val="subscript"/>
        <sz val="11"/>
        <color theme="1"/>
        <rFont val="Calibri"/>
        <family val="2"/>
        <scheme val="minor"/>
      </rPr>
      <t>t</t>
    </r>
  </si>
  <si>
    <t>- Valore calcolato</t>
  </si>
  <si>
    <t xml:space="preserve">- Controllo sul </t>
  </si>
  <si>
    <t xml:space="preserve">   numero di celle</t>
  </si>
  <si>
    <t>- Valore effettivo</t>
  </si>
  <si>
    <t>Necessario?</t>
  </si>
  <si>
    <t>Calcolato con formule</t>
  </si>
  <si>
    <t>Ricalcolato in base al lato base della cella</t>
  </si>
  <si>
    <t>NB:</t>
  </si>
  <si>
    <t>= corretto a mano</t>
  </si>
  <si>
    <t>Si riportano le tensioni massima e minima di ogni pannello di vetro (sup. e inf.) di ogni pannello sandwich, secondo la element-solution e la nodal-solution.</t>
  </si>
  <si>
    <t>Per ogni nodo si individuano i 4 elementi truss che vi convergono e si annotano forze e momenti per ognuno di essi. In seguito si pocede alla somma vettoriale dei medesimi.</t>
  </si>
  <si>
    <r>
      <t>σ</t>
    </r>
    <r>
      <rPr>
        <vertAlign val="subscript"/>
        <sz val="11"/>
        <color theme="1"/>
        <rFont val="Calibri"/>
        <family val="2"/>
      </rPr>
      <t>max</t>
    </r>
  </si>
  <si>
    <t>Superiore</t>
  </si>
  <si>
    <t>Inferiore</t>
  </si>
  <si>
    <r>
      <t>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</si>
  <si>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</si>
  <si>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</si>
  <si>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</si>
  <si>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</si>
  <si>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</si>
  <si>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/>
    </r>
  </si>
  <si>
    <t>L</t>
  </si>
  <si>
    <r>
      <t>σ</t>
    </r>
    <r>
      <rPr>
        <vertAlign val="subscript"/>
        <sz val="11"/>
        <color theme="1"/>
        <rFont val="Calibri"/>
        <family val="2"/>
      </rPr>
      <t>min</t>
    </r>
  </si>
  <si>
    <t>NOTA:</t>
  </si>
  <si>
    <t>- L (mm)</t>
  </si>
  <si>
    <t>- σ (MPa)</t>
  </si>
  <si>
    <t>ANALISI TENSIONI NEI PANNELLI DI VETRO</t>
  </si>
  <si>
    <t>NB: i valori sono estratti dal mid-shell, cioè in corrispondenza dei nodi di metà spessore del pannello.</t>
  </si>
  <si>
    <r>
      <t xml:space="preserve">VALORI DI TENSIONE  </t>
    </r>
    <r>
      <rPr>
        <b/>
        <i/>
        <sz val="14"/>
        <color theme="1"/>
        <rFont val="Calibri"/>
        <family val="2"/>
        <scheme val="minor"/>
      </rPr>
      <t>e.sol</t>
    </r>
  </si>
  <si>
    <r>
      <t xml:space="preserve">VALORI DI TENSIONE  </t>
    </r>
    <r>
      <rPr>
        <b/>
        <i/>
        <sz val="14"/>
        <color theme="1"/>
        <rFont val="Calibri"/>
        <family val="2"/>
        <scheme val="minor"/>
      </rPr>
      <t>n.sol</t>
    </r>
  </si>
  <si>
    <t>Si riportano i valori delle forze e dei momenti agenti sui nodi di interfaccia, 3-4 nodi a seconda delle dimensioni, sia sul pannello sup. sia su quello inf.</t>
  </si>
  <si>
    <t>n° nodo</t>
  </si>
  <si>
    <r>
      <t>F</t>
    </r>
    <r>
      <rPr>
        <vertAlign val="subscript"/>
        <sz val="11"/>
        <color theme="1"/>
        <rFont val="Calibri"/>
        <family val="2"/>
        <scheme val="minor"/>
      </rPr>
      <t>x</t>
    </r>
  </si>
  <si>
    <r>
      <t>F</t>
    </r>
    <r>
      <rPr>
        <vertAlign val="subscript"/>
        <sz val="11"/>
        <color theme="1"/>
        <rFont val="Calibri"/>
        <family val="2"/>
        <scheme val="minor"/>
      </rPr>
      <t>y</t>
    </r>
  </si>
  <si>
    <r>
      <t>F</t>
    </r>
    <r>
      <rPr>
        <vertAlign val="subscript"/>
        <sz val="11"/>
        <color theme="1"/>
        <rFont val="Calibri"/>
        <family val="2"/>
        <scheme val="minor"/>
      </rPr>
      <t>z</t>
    </r>
  </si>
  <si>
    <r>
      <t>M</t>
    </r>
    <r>
      <rPr>
        <vertAlign val="subscript"/>
        <sz val="11"/>
        <color theme="1"/>
        <rFont val="Calibri"/>
        <family val="2"/>
        <scheme val="minor"/>
      </rPr>
      <t>x</t>
    </r>
  </si>
  <si>
    <r>
      <t>M</t>
    </r>
    <r>
      <rPr>
        <vertAlign val="subscript"/>
        <sz val="11"/>
        <color theme="1"/>
        <rFont val="Calibri"/>
        <family val="2"/>
        <scheme val="minor"/>
      </rPr>
      <t>y</t>
    </r>
  </si>
  <si>
    <r>
      <t>M</t>
    </r>
    <r>
      <rPr>
        <vertAlign val="subscript"/>
        <sz val="11"/>
        <color theme="1"/>
        <rFont val="Calibri"/>
        <family val="2"/>
        <scheme val="minor"/>
      </rPr>
      <t>z</t>
    </r>
  </si>
  <si>
    <t>pos</t>
  </si>
  <si>
    <t>- se è sul pannello superiore o inferiore: "s" e "i"</t>
  </si>
  <si>
    <t>- il numero progressivo della posizione va da 1 a massimo 4 procedendo dall'esterno verso l'interno sulla diagonale del pannello</t>
  </si>
  <si>
    <t>Il nodo è identificato indicando:</t>
  </si>
  <si>
    <t>el.truss</t>
  </si>
  <si>
    <t>Si indicano anche:</t>
  </si>
  <si>
    <t>s,1</t>
  </si>
  <si>
    <t>xxx</t>
  </si>
  <si>
    <t>s,2</t>
  </si>
  <si>
    <t>s,3</t>
  </si>
  <si>
    <t>s,4</t>
  </si>
  <si>
    <t>- F (N)</t>
  </si>
  <si>
    <t>- M (Nmm)</t>
  </si>
  <si>
    <t>n° 1</t>
  </si>
  <si>
    <t>n° 2</t>
  </si>
  <si>
    <t>n° 3</t>
  </si>
  <si>
    <t>n° 4</t>
  </si>
  <si>
    <r>
      <t xml:space="preserve">- il numero "n° nodo" che il nodo assume nel modello vero e proprio, così da poterlo ritrovare col comando </t>
    </r>
    <r>
      <rPr>
        <i/>
        <sz val="11"/>
        <color theme="1"/>
        <rFont val="Calibri"/>
        <family val="2"/>
        <scheme val="minor"/>
      </rPr>
      <t>nsel</t>
    </r>
  </si>
  <si>
    <r>
      <t xml:space="preserve">- i numeri che gli elementi truss convergenti nel nodo assumono nel modello, così da poterli richiamare col comando </t>
    </r>
    <r>
      <rPr>
        <i/>
        <sz val="11"/>
        <color theme="1"/>
        <rFont val="Calibri"/>
        <family val="2"/>
        <scheme val="minor"/>
      </rPr>
      <t>esel</t>
    </r>
  </si>
  <si>
    <r>
      <t>L</t>
    </r>
    <r>
      <rPr>
        <vertAlign val="subscript"/>
        <sz val="11"/>
        <color theme="1"/>
        <rFont val="Calibri"/>
        <family val="2"/>
        <scheme val="minor"/>
      </rPr>
      <t>3</t>
    </r>
  </si>
  <si>
    <t>i,1</t>
  </si>
  <si>
    <t>i,2</t>
  </si>
  <si>
    <t>i,3</t>
  </si>
  <si>
    <t>i,4</t>
  </si>
  <si>
    <t>VALORI DI FORZA E MOMENTO</t>
  </si>
  <si>
    <t>ANALISI FORZE E MOMENTI ALL'INTERFACCIA – RACCOLTA DATI</t>
  </si>
  <si>
    <t>s3</t>
  </si>
  <si>
    <t>s1</t>
  </si>
  <si>
    <t>s2</t>
  </si>
  <si>
    <t>0_0,25</t>
  </si>
  <si>
    <t>-0,25_0</t>
  </si>
  <si>
    <t>NB2: si riporta l'intervallo di s2.</t>
  </si>
  <si>
    <t>0_0,29</t>
  </si>
  <si>
    <t>-0,29_0</t>
  </si>
  <si>
    <t>0-0,29</t>
  </si>
  <si>
    <t>-0,24-0</t>
  </si>
  <si>
    <t>-0,29-0</t>
  </si>
  <si>
    <t>0-1,03</t>
  </si>
  <si>
    <t>0-1,08</t>
  </si>
  <si>
    <t>-1,02-0</t>
  </si>
  <si>
    <t>-1,08-0</t>
  </si>
  <si>
    <t>-1,02-0,12</t>
  </si>
  <si>
    <t>-1,02-0,01</t>
  </si>
  <si>
    <t>-1,07-0</t>
  </si>
  <si>
    <t>0-1,02</t>
  </si>
  <si>
    <t>-0,01-2,92</t>
  </si>
  <si>
    <t>-0,08-4,54</t>
  </si>
  <si>
    <t>-0,10-7,10</t>
  </si>
  <si>
    <t>-7,10-0,03</t>
  </si>
  <si>
    <t>-0,12-9,75</t>
  </si>
  <si>
    <t>-9,75-0,03</t>
  </si>
  <si>
    <t>-0,16-9,75</t>
  </si>
  <si>
    <t>-0,21-9,75</t>
  </si>
  <si>
    <t>-0,14-12,01</t>
  </si>
  <si>
    <t>0-0,21</t>
  </si>
  <si>
    <t>0-1,01</t>
  </si>
  <si>
    <t>-0,01-1,89</t>
  </si>
  <si>
    <t>-0,01-2,87</t>
  </si>
  <si>
    <t>-0,1-4,47</t>
  </si>
  <si>
    <t>-0,09-6,96</t>
  </si>
  <si>
    <t>-0,10-9,66</t>
  </si>
  <si>
    <t>-0,12-12,06</t>
  </si>
  <si>
    <t>Relativi a CELLA 2, pannello superiore e inferiore</t>
  </si>
  <si>
    <t>Confronto CELLA 2 - CELLA 4, pannello superiore e inferiore</t>
  </si>
  <si>
    <t>- il numero progressivo della posizione va da 1 a massimo 4 procedendo dall'esterno verso l'interno sulla diagonale del pannello dall'angolo in alto a dx della vista superiore</t>
  </si>
  <si>
    <t>Σ</t>
  </si>
  <si>
    <t>τ</t>
  </si>
  <si>
    <t>Area di contatto</t>
  </si>
  <si>
    <t>Diametro area di contatto</t>
  </si>
  <si>
    <r>
      <t>mm</t>
    </r>
    <r>
      <rPr>
        <vertAlign val="superscript"/>
        <sz val="11"/>
        <color theme="1"/>
        <rFont val="Calibri"/>
        <family val="2"/>
        <scheme val="minor"/>
      </rPr>
      <t>2</t>
    </r>
  </si>
  <si>
    <t>- τ (MPa)</t>
  </si>
  <si>
    <t>σ</t>
  </si>
  <si>
    <r>
      <t>CONTROLLO DELLA STABILIT</t>
    </r>
    <r>
      <rPr>
        <b/>
        <sz val="14"/>
        <color theme="0"/>
        <rFont val="Calibri"/>
        <family val="2"/>
      </rPr>
      <t>À A BUCKLING DEGLI ELEMENTI TRUSS</t>
    </r>
  </si>
  <si>
    <t>Il carico di buckling è espresso da:</t>
  </si>
  <si>
    <t>Test:</t>
  </si>
  <si>
    <t>test</t>
  </si>
  <si>
    <t>MPa</t>
  </si>
  <si>
    <r>
      <t>L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/>
    </r>
  </si>
  <si>
    <r>
      <t>P</t>
    </r>
    <r>
      <rPr>
        <vertAlign val="subscript"/>
        <sz val="11"/>
        <color theme="1"/>
        <rFont val="Calibri"/>
        <family val="2"/>
        <scheme val="minor"/>
      </rPr>
      <t>E</t>
    </r>
  </si>
  <si>
    <r>
      <t>σ</t>
    </r>
    <r>
      <rPr>
        <vertAlign val="subscript"/>
        <sz val="11"/>
        <color theme="1"/>
        <rFont val="Calibri"/>
        <family val="2"/>
        <scheme val="minor"/>
      </rPr>
      <t>E</t>
    </r>
  </si>
  <si>
    <r>
      <t>l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= l</t>
    </r>
    <r>
      <rPr>
        <vertAlign val="subscript"/>
        <sz val="11"/>
        <color theme="1"/>
        <rFont val="Calibri"/>
        <family val="2"/>
        <scheme val="minor"/>
      </rPr>
      <t>t</t>
    </r>
  </si>
  <si>
    <r>
      <t>σ</t>
    </r>
    <r>
      <rPr>
        <vertAlign val="subscript"/>
        <sz val="11"/>
        <color theme="1"/>
        <rFont val="Calibri"/>
        <family val="2"/>
        <scheme val="minor"/>
      </rPr>
      <t>r,c</t>
    </r>
    <r>
      <rPr>
        <sz val="11"/>
        <color theme="1"/>
        <rFont val="Calibri"/>
        <family val="2"/>
        <scheme val="minor"/>
      </rPr>
      <t xml:space="preserve"> (MPa)</t>
    </r>
  </si>
  <si>
    <t>VALORI DI TENSIONE SUGLI ELEMENTI</t>
  </si>
  <si>
    <r>
      <t>σ</t>
    </r>
    <r>
      <rPr>
        <vertAlign val="subscript"/>
        <sz val="11"/>
        <color theme="1"/>
        <rFont val="Calibri"/>
        <family val="2"/>
        <scheme val="minor"/>
      </rPr>
      <t>n,min</t>
    </r>
  </si>
  <si>
    <r>
      <t>σ</t>
    </r>
    <r>
      <rPr>
        <vertAlign val="subscript"/>
        <sz val="11"/>
        <color theme="1"/>
        <rFont val="Calibri"/>
        <family val="2"/>
        <scheme val="minor"/>
      </rPr>
      <t>n,max</t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</si>
  <si>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</si>
  <si>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</si>
  <si>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  <r>
      <rPr>
        <sz val="11"/>
        <color theme="1"/>
        <rFont val="Calibri"/>
        <family val="2"/>
        <scheme val="minor"/>
      </rPr>
      <t/>
    </r>
  </si>
  <si>
    <t>(N)</t>
  </si>
  <si>
    <r>
      <t>Si riportano i valori delle sigma normali (forze assiali) agenti sugli elementi, confrontandoli col carico di buckling P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e la resistenza del PET-G.</t>
    </r>
  </si>
  <si>
    <t>Per i pannelli selezionati, si individuano i valori di massimo e minimo e  si eseguono due test:</t>
  </si>
  <si>
    <r>
      <t xml:space="preserve">- se  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n</t>
    </r>
    <r>
      <rPr>
        <sz val="11"/>
        <color theme="1"/>
        <rFont val="Calibri"/>
        <family val="2"/>
        <scheme val="minor"/>
      </rPr>
      <t xml:space="preserve"> &lt; 0 , cioè l'elemento è compresso, si verifica che non si ecceda il carico di buckling P</t>
    </r>
    <r>
      <rPr>
        <vertAlign val="subscript"/>
        <sz val="11"/>
        <color theme="1"/>
        <rFont val="Calibri"/>
        <family val="2"/>
        <scheme val="minor"/>
      </rPr>
      <t>E</t>
    </r>
  </si>
  <si>
    <r>
      <t xml:space="preserve">- se  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n</t>
    </r>
    <r>
      <rPr>
        <sz val="11"/>
        <color theme="1"/>
        <rFont val="Calibri"/>
        <family val="2"/>
        <scheme val="minor"/>
      </rPr>
      <t xml:space="preserve"> &gt; 0 , cioè l'elemento è in trazione, si verifica che non si ecceda la resistenza del materiale σ</t>
    </r>
    <r>
      <rPr>
        <vertAlign val="subscript"/>
        <sz val="11"/>
        <color theme="1"/>
        <rFont val="Calibri"/>
        <family val="2"/>
        <scheme val="minor"/>
      </rPr>
      <t>r,c</t>
    </r>
  </si>
  <si>
    <t>Sono state selezionate solo alcune lunghezze di lato perché è presumibile che i valori si mantengano molto bassi.</t>
  </si>
  <si>
    <t>- il numero progressivo della posizione va da 1 a massimo 4 procedendo dall'esterno verso l'interno, perpendicolarmente al lato, all'incirca sull'asse di simmetria</t>
  </si>
  <si>
    <t>&lt;-- NB: diverso da cella 2 e cella 4!</t>
  </si>
  <si>
    <t>ALTERNATIVA - GRID SANDWICH PANEL</t>
  </si>
  <si>
    <t>Raccolta dati di deformazione, tensioni e forze a taglio di un pannello con grid core al posto del truss core.</t>
  </si>
  <si>
    <t>Il grid core è una rete quadrata: si riportano perciò le dimensioni della sezione dei "fili" della rete e dell'area unitaria.</t>
  </si>
  <si>
    <t>Per la divisione in aree e per la mesh susccessiva si è partiti come base dalla cella 4.</t>
  </si>
  <si>
    <r>
      <t>b</t>
    </r>
    <r>
      <rPr>
        <vertAlign val="subscript"/>
        <sz val="11"/>
        <color theme="1"/>
        <rFont val="Calibri"/>
        <family val="2"/>
        <scheme val="minor"/>
      </rPr>
      <t>g</t>
    </r>
  </si>
  <si>
    <r>
      <t>h</t>
    </r>
    <r>
      <rPr>
        <vertAlign val="subscript"/>
        <sz val="11"/>
        <color theme="1"/>
        <rFont val="Calibri"/>
        <family val="2"/>
        <scheme val="minor"/>
      </rPr>
      <t>g</t>
    </r>
  </si>
  <si>
    <r>
      <t>l</t>
    </r>
    <r>
      <rPr>
        <vertAlign val="subscript"/>
        <sz val="11"/>
        <color theme="1"/>
        <rFont val="Calibri"/>
        <family val="2"/>
        <scheme val="minor"/>
      </rPr>
      <t>g</t>
    </r>
  </si>
  <si>
    <t>Sezione "cavo"</t>
  </si>
  <si>
    <t>Lato area unitaria</t>
  </si>
  <si>
    <t>Spessore grid core</t>
  </si>
  <si>
    <t>esol</t>
  </si>
  <si>
    <t>nsol</t>
  </si>
  <si>
    <t>-0,03-6,66</t>
  </si>
  <si>
    <t>-0,01-6,66</t>
  </si>
  <si>
    <t>-6,65-0,06</t>
  </si>
  <si>
    <t>-6,65-,03</t>
  </si>
  <si>
    <t>0</t>
  </si>
  <si>
    <t>el.shell-grid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</si>
  <si>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i nodi sono quelli agli incroci del grid.</t>
    </r>
  </si>
  <si>
    <t>Per entrambe tau e sigma ipotizzo un'area</t>
  </si>
  <si>
    <t>circolare di diametro pari allo spessore del</t>
  </si>
  <si>
    <t>"cavo" del grid  →</t>
  </si>
  <si>
    <t>CONTROLLO DEFORMAZIONE</t>
  </si>
  <si>
    <t>CONTROLLO TENSIONI PRINICIPALI - VETRO</t>
  </si>
  <si>
    <t>CONTROLLO TENSIONI PRINICIPALI - GRID CORE</t>
  </si>
  <si>
    <t>CHECK TAGLIO NODI DI INTERFACCIA</t>
  </si>
  <si>
    <t>Medesima logica: da esterno (1) a interno (&gt;1)</t>
  </si>
  <si>
    <t>Sez. piccola</t>
  </si>
  <si>
    <t>Sez. grande</t>
  </si>
  <si>
    <t>Sezione grande considerata resistente per il calcolo di tau e sigma all'interfaccia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</si>
</sst>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vertAlign val="subscript"/>
      <sz val="9.35"/>
      <color theme="1"/>
      <name val="Calibri"/>
      <family val="2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b/>
      <sz val="14"/>
      <color theme="0"/>
      <name val="Calibri"/>
      <family val="2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2F8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1" fontId="0" fillId="0" borderId="0" xfId="0" applyNumberFormat="1"/>
    <xf numFmtId="0" fontId="2" fillId="0" borderId="0" xfId="0" applyFont="1"/>
    <xf numFmtId="0" fontId="8" fillId="0" borderId="0" xfId="0" applyFont="1" applyAlignment="1">
      <alignment horizontal="center"/>
    </xf>
    <xf numFmtId="0" fontId="0" fillId="0" borderId="0" xfId="0" quotePrefix="1"/>
    <xf numFmtId="0" fontId="8" fillId="0" borderId="0" xfId="0" applyFont="1"/>
    <xf numFmtId="0" fontId="0" fillId="4" borderId="0" xfId="0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quotePrefix="1" applyFont="1" applyAlignment="1">
      <alignment horizontal="left" vertical="center"/>
    </xf>
    <xf numFmtId="0" fontId="8" fillId="4" borderId="0" xfId="0" applyFont="1" applyFill="1" applyAlignment="1">
      <alignment horizontal="center"/>
    </xf>
    <xf numFmtId="0" fontId="10" fillId="0" borderId="0" xfId="0" applyFont="1"/>
    <xf numFmtId="1" fontId="12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0" fontId="10" fillId="0" borderId="0" xfId="1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0" fillId="6" borderId="0" xfId="0" applyFill="1"/>
    <xf numFmtId="0" fontId="14" fillId="6" borderId="0" xfId="0" applyFont="1" applyFill="1"/>
    <xf numFmtId="0" fontId="0" fillId="0" borderId="0" xfId="0" applyFont="1"/>
    <xf numFmtId="10" fontId="0" fillId="0" borderId="0" xfId="1" applyNumberFormat="1" applyFont="1" applyAlignment="1">
      <alignment horizontal="center"/>
    </xf>
    <xf numFmtId="165" fontId="0" fillId="0" borderId="0" xfId="0" applyNumberFormat="1" applyFont="1"/>
    <xf numFmtId="0" fontId="0" fillId="0" borderId="0" xfId="0" applyFont="1" applyAlignment="1"/>
    <xf numFmtId="10" fontId="0" fillId="0" borderId="0" xfId="1" applyNumberFormat="1" applyFont="1" applyAlignment="1"/>
    <xf numFmtId="165" fontId="0" fillId="0" borderId="0" xfId="0" applyNumberFormat="1" applyFont="1" applyAlignment="1"/>
    <xf numFmtId="10" fontId="8" fillId="0" borderId="0" xfId="1" applyNumberFormat="1" applyFont="1" applyAlignment="1"/>
    <xf numFmtId="0" fontId="7" fillId="7" borderId="0" xfId="0" applyFont="1" applyFill="1" applyAlignment="1">
      <alignment horizontal="center"/>
    </xf>
    <xf numFmtId="165" fontId="0" fillId="7" borderId="0" xfId="0" applyNumberFormat="1" applyFill="1"/>
    <xf numFmtId="0" fontId="0" fillId="7" borderId="0" xfId="0" applyFill="1"/>
    <xf numFmtId="0" fontId="0" fillId="3" borderId="0" xfId="0" applyFill="1"/>
    <xf numFmtId="0" fontId="16" fillId="0" borderId="0" xfId="0" applyFont="1"/>
    <xf numFmtId="0" fontId="17" fillId="0" borderId="0" xfId="0" applyFont="1"/>
    <xf numFmtId="0" fontId="0" fillId="0" borderId="0" xfId="0" applyFill="1"/>
    <xf numFmtId="0" fontId="0" fillId="8" borderId="0" xfId="0" applyFill="1"/>
    <xf numFmtId="165" fontId="0" fillId="0" borderId="0" xfId="1" applyNumberFormat="1" applyFont="1" applyAlignment="1"/>
    <xf numFmtId="0" fontId="20" fillId="0" borderId="0" xfId="0" applyFont="1"/>
    <xf numFmtId="2" fontId="0" fillId="8" borderId="0" xfId="0" applyNumberFormat="1" applyFill="1"/>
    <xf numFmtId="2" fontId="0" fillId="6" borderId="0" xfId="0" applyNumberFormat="1" applyFill="1"/>
    <xf numFmtId="2" fontId="0" fillId="0" borderId="0" xfId="0" quotePrefix="1" applyNumberFormat="1"/>
    <xf numFmtId="2" fontId="0" fillId="0" borderId="0" xfId="0" applyNumberFormat="1" applyAlignment="1">
      <alignment horizontal="center"/>
    </xf>
    <xf numFmtId="0" fontId="0" fillId="9" borderId="0" xfId="0" applyFill="1" applyAlignment="1">
      <alignment horizontal="center"/>
    </xf>
    <xf numFmtId="0" fontId="22" fillId="2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quotePrefix="1" applyFont="1"/>
    <xf numFmtId="0" fontId="22" fillId="0" borderId="0" xfId="0" applyFont="1" applyBorder="1"/>
    <xf numFmtId="0" fontId="0" fillId="0" borderId="0" xfId="0" applyBorder="1"/>
    <xf numFmtId="0" fontId="0" fillId="10" borderId="0" xfId="0" applyFill="1" applyBorder="1"/>
    <xf numFmtId="0" fontId="8" fillId="0" borderId="0" xfId="0" quotePrefix="1" applyFont="1" applyBorder="1"/>
    <xf numFmtId="1" fontId="0" fillId="10" borderId="0" xfId="0" applyNumberFormat="1" applyFill="1"/>
    <xf numFmtId="0" fontId="4" fillId="0" borderId="0" xfId="0" applyFont="1" applyAlignment="1">
      <alignment horizontal="left"/>
    </xf>
    <xf numFmtId="2" fontId="0" fillId="0" borderId="0" xfId="0" quotePrefix="1" applyNumberFormat="1" applyAlignment="1">
      <alignment horizontal="left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2" borderId="0" xfId="0" applyFill="1" applyAlignment="1">
      <alignment vertical="center"/>
    </xf>
    <xf numFmtId="2" fontId="14" fillId="6" borderId="0" xfId="0" applyNumberFormat="1" applyFont="1" applyFill="1" applyAlignment="1">
      <alignment horizontal="center" vertical="center"/>
    </xf>
    <xf numFmtId="165" fontId="0" fillId="6" borderId="0" xfId="0" applyNumberFormat="1" applyFill="1"/>
    <xf numFmtId="2" fontId="0" fillId="0" borderId="0" xfId="0" applyNumberFormat="1" applyFill="1"/>
    <xf numFmtId="0" fontId="0" fillId="11" borderId="0" xfId="0" quotePrefix="1" applyFill="1"/>
    <xf numFmtId="0" fontId="0" fillId="11" borderId="0" xfId="0" applyFill="1"/>
    <xf numFmtId="49" fontId="0" fillId="0" borderId="0" xfId="0" applyNumberFormat="1" applyAlignment="1">
      <alignment horizontal="center"/>
    </xf>
    <xf numFmtId="49" fontId="0" fillId="6" borderId="0" xfId="0" applyNumberForma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0" fillId="0" borderId="0" xfId="0" quotePrefix="1" applyNumberForma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2" fontId="0" fillId="0" borderId="0" xfId="0" applyNumberFormat="1" applyAlignment="1">
      <alignment horizontal="right"/>
    </xf>
    <xf numFmtId="2" fontId="4" fillId="0" borderId="0" xfId="0" applyNumberFormat="1" applyFont="1" applyAlignment="1">
      <alignment horizontal="left"/>
    </xf>
    <xf numFmtId="2" fontId="4" fillId="0" borderId="0" xfId="0" quotePrefix="1" applyNumberFormat="1" applyFont="1" applyAlignment="1">
      <alignment horizontal="left"/>
    </xf>
    <xf numFmtId="2" fontId="0" fillId="0" borderId="0" xfId="0" applyNumberFormat="1" applyAlignment="1">
      <alignment horizontal="left"/>
    </xf>
    <xf numFmtId="1" fontId="4" fillId="0" borderId="0" xfId="0" applyNumberFormat="1" applyFont="1" applyAlignment="1">
      <alignment horizontal="center"/>
    </xf>
    <xf numFmtId="0" fontId="0" fillId="12" borderId="0" xfId="0" applyFill="1"/>
    <xf numFmtId="164" fontId="0" fillId="12" borderId="0" xfId="0" applyNumberFormat="1" applyFill="1"/>
    <xf numFmtId="2" fontId="0" fillId="0" borderId="0" xfId="0" applyNumberFormat="1" applyBorder="1"/>
    <xf numFmtId="2" fontId="0" fillId="0" borderId="1" xfId="0" applyNumberFormat="1" applyBorder="1"/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/>
    <xf numFmtId="2" fontId="14" fillId="0" borderId="0" xfId="0" applyNumberFormat="1" applyFont="1" applyFill="1" applyAlignment="1">
      <alignment horizontal="center" vertical="center"/>
    </xf>
    <xf numFmtId="165" fontId="0" fillId="0" borderId="0" xfId="0" applyNumberFormat="1" applyFill="1"/>
    <xf numFmtId="164" fontId="0" fillId="0" borderId="0" xfId="0" quotePrefix="1" applyNumberFormat="1"/>
    <xf numFmtId="164" fontId="0" fillId="0" borderId="0" xfId="0" applyNumberFormat="1" applyFill="1"/>
    <xf numFmtId="2" fontId="27" fillId="13" borderId="0" xfId="0" applyNumberFormat="1" applyFont="1" applyFill="1"/>
    <xf numFmtId="2" fontId="26" fillId="13" borderId="0" xfId="0" applyNumberFormat="1" applyFont="1" applyFill="1"/>
    <xf numFmtId="1" fontId="0" fillId="0" borderId="0" xfId="0" applyNumberFormat="1" applyFill="1"/>
    <xf numFmtId="49" fontId="1" fillId="0" borderId="0" xfId="1" applyNumberFormat="1" applyFont="1" applyAlignment="1">
      <alignment horizontal="center"/>
    </xf>
    <xf numFmtId="2" fontId="0" fillId="0" borderId="0" xfId="1" applyNumberFormat="1" applyFont="1" applyAlignment="1"/>
    <xf numFmtId="2" fontId="0" fillId="0" borderId="0" xfId="0" applyNumberFormat="1" applyFont="1" applyAlignment="1"/>
    <xf numFmtId="0" fontId="0" fillId="0" borderId="0" xfId="0" applyFont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CCCC00"/>
      <color rgb="FF00CCFF"/>
      <color rgb="FFFF9900"/>
      <color rgb="FFFFCC66"/>
      <color rgb="FF66FF99"/>
      <color rgb="FF00FF99"/>
      <color rgb="FF00FFCC"/>
      <color rgb="FF9999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</a:t>
            </a:r>
          </a:p>
        </c:rich>
      </c:tx>
      <c:layout>
        <c:manualLayout>
          <c:xMode val="edge"/>
          <c:yMode val="edge"/>
          <c:x val="0.7456495010415547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96372471115843"/>
          <c:y val="2.9900462962962962E-2"/>
          <c:w val="0.71211852050602009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('Buckling__t-1,0'!$F$27,'Buckling__t-1,0'!$F$32,'Buckling__t-1,0'!$F$37)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('Buckling__t-1,0'!$F$28,'Buckling__t-1,0'!$F$33,'Buckling__t-1,0'!$F$38)</c:f>
              <c:numCache>
                <c:formatCode>0.00</c:formatCode>
                <c:ptCount val="3"/>
                <c:pt idx="0">
                  <c:v>-0.54</c:v>
                </c:pt>
                <c:pt idx="1">
                  <c:v>-0.85</c:v>
                </c:pt>
                <c:pt idx="2">
                  <c:v>-1.29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23-47EC-B959-A9D166ABB43B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('Buckling__t-1,0'!$R$27,'Buckling__t-1,0'!$R$32,'Buckling__t-1,0'!$R$37)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('Buckling__t-1,0'!$R$28,'Buckling__t-1,0'!$R$33,'Buckling__t-1,0'!$R$38)</c:f>
              <c:numCache>
                <c:formatCode>0.00</c:formatCode>
                <c:ptCount val="3"/>
                <c:pt idx="0">
                  <c:v>-0.2</c:v>
                </c:pt>
                <c:pt idx="1">
                  <c:v>-0.33</c:v>
                </c:pt>
                <c:pt idx="2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23-47EC-B959-A9D166ABB43B}"/>
            </c:ext>
          </c:extLst>
        </c:ser>
        <c:ser>
          <c:idx val="4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('Buckling__t-1,0'!$F$27,'Buckling__t-1,0'!$F$32,'Buckling__t-1,0'!$F$37)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('Buckling__t-1,0'!$F$30,'Buckling__t-1,0'!$F$35,'Buckling__t-1,0'!$F$40)</c:f>
              <c:numCache>
                <c:formatCode>0.00</c:formatCode>
                <c:ptCount val="3"/>
                <c:pt idx="0">
                  <c:v>0.55000000000000004</c:v>
                </c:pt>
                <c:pt idx="1">
                  <c:v>1.01</c:v>
                </c:pt>
                <c:pt idx="2">
                  <c:v>1.52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B23-47EC-B959-A9D166ABB43B}"/>
            </c:ext>
          </c:extLst>
        </c:ser>
        <c:ser>
          <c:idx val="7"/>
          <c:order val="7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('Buckling__t-1,0'!$R$27,'Buckling__t-1,0'!$R$32,'Buckling__t-1,0'!$R$37)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('Buckling__t-1,0'!$R$30,'Buckling__t-1,0'!$R$35,'Buckling__t-1,0'!$R$40)</c:f>
              <c:numCache>
                <c:formatCode>0.00</c:formatCode>
                <c:ptCount val="3"/>
                <c:pt idx="0">
                  <c:v>0.2</c:v>
                </c:pt>
                <c:pt idx="1">
                  <c:v>0.37</c:v>
                </c:pt>
                <c:pt idx="2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B23-47EC-B959-A9D166ABB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3"/>
                <c:tx>
                  <c:v>d_t,2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Pt>
                  <c:idx val="0"/>
                  <c:marker>
                    <c:symbol val="circle"/>
                    <c:size val="5"/>
                    <c:spPr>
                      <a:solidFill>
                        <a:schemeClr val="accent3"/>
                      </a:solidFill>
                      <a:ln w="9525">
                        <a:solidFill>
                          <a:schemeClr val="accent3"/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accent3"/>
                      </a:solidFill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B49F-40D5-9A60-47893AEB23C0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('Buckling__t-1,0'!$J$27,'Buckling__t-1,0'!$J$32,'Buckling__t-1,0'!$J$37)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('Buckling__t-1,0'!$J$28,'Buckling__t-1,0'!$J$33,'Buckling__t-1,0'!$J$38)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-0.4</c:v>
                      </c:pt>
                      <c:pt idx="1">
                        <c:v>-0.63</c:v>
                      </c:pt>
                      <c:pt idx="2">
                        <c:v>-0.94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B23-47EC-B959-A9D166ABB43B}"/>
                  </c:ext>
                </c:extLst>
              </c15:ser>
            </c15:filteredScatterSeries>
            <c15:filteredScatterSeries>
              <c15:ser>
                <c:idx val="5"/>
                <c:order val="4"/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('Buckling__t-1,0'!$J$27,'Buckling__t-1,0'!$J$32,'Buckling__t-1,0'!$J$37)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('Buckling__t-1,0'!$J$30,'Buckling__t-1,0'!$J$35,'Buckling__t-1,0'!$J$40)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0.4</c:v>
                      </c:pt>
                      <c:pt idx="1">
                        <c:v>0.75</c:v>
                      </c:pt>
                      <c:pt idx="2">
                        <c:v>1.1299999999999999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B23-47EC-B959-A9D166ABB43B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v>d_t,3</c:v>
                </c:tx>
                <c:spPr>
                  <a:ln w="95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('Buckling__t-1,0'!$N$27,'Buckling__t-1,0'!$N$32,'Buckling__t-1,0'!$N$37)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('Buckling__t-1,0'!$N$28,'Buckling__t-1,0'!$N$33,'Buckling__t-1,0'!$N$38)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-0.31</c:v>
                      </c:pt>
                      <c:pt idx="1">
                        <c:v>-0.49</c:v>
                      </c:pt>
                      <c:pt idx="2">
                        <c:v>-0.74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B23-47EC-B959-A9D166ABB43B}"/>
                  </c:ext>
                </c:extLst>
              </c15:ser>
            </c15:filteredScatterSeries>
            <c15:filteredScatterSeries>
              <c15:ser>
                <c:idx val="6"/>
                <c:order val="6"/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('Buckling__t-1,0'!$N$27,'Buckling__t-1,0'!$N$32,'Buckling__t-1,0'!$N$37)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('Buckling__t-1,0'!$N$30,'Buckling__t-1,0'!$N$35,'Buckling__t-1,0'!$N$40)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0.31</c:v>
                      </c:pt>
                      <c:pt idx="1">
                        <c:v>0.57999999999999996</c:v>
                      </c:pt>
                      <c:pt idx="2">
                        <c:v>0.87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B23-47EC-B959-A9D166ABB43B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000"/>
          <c:min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3"/>
        <c:crossBetween val="midCat"/>
        <c:majorUnit val="400"/>
        <c:minorUnit val="100"/>
      </c:valAx>
      <c:valAx>
        <c:axId val="464055376"/>
        <c:scaling>
          <c:orientation val="minMax"/>
          <c:max val="2.5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n,min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e </a:t>
                </a: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n,max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8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4548225308641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5"/>
        <c:minorUnit val="0.2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1063284943676444"/>
          <c:y val="3.3193672839506166E-2"/>
          <c:w val="0.22949655984773989"/>
          <c:h val="0.1212685185185185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d_t,4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7543855122929986"/>
          <c:y val="0.7626087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('Interf.F&amp;M__CELL-2__t-1,0'!$E$56,'Interf.F&amp;M__CELL-2__t-1,0'!$E$63,'Interf.F&amp;M__CELL-2__t-1,0'!$E$70,'Interf.F&amp;M__CELL-2__t-1,0'!$E$77)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('Interf.F&amp;M__CELL-2__t-1,0'!$G$61,'Interf.F&amp;M__CELL-2__t-1,0'!$G$68,'Interf.F&amp;M__CELL-2__t-1,0'!$G$75,'Interf.F&amp;M__CELL-2__t-1,0'!$G$82)</c:f>
              <c:numCache>
                <c:formatCode>0.00</c:formatCode>
                <c:ptCount val="4"/>
                <c:pt idx="0">
                  <c:v>8.3337450056846757E-2</c:v>
                </c:pt>
                <c:pt idx="1">
                  <c:v>0.21247168344819098</c:v>
                </c:pt>
                <c:pt idx="2">
                  <c:v>0.20532228996374446</c:v>
                </c:pt>
                <c:pt idx="3">
                  <c:v>0.15405412520910483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2E-453C-9049-CB7AC9F04136}"/>
            </c:ext>
          </c:extLst>
        </c:ser>
        <c:ser>
          <c:idx val="1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('Interf.F&amp;M__CELL-4__t-1,0'!$E$54,'Interf.F&amp;M__CELL-4__t-1,0'!$E$61,'Interf.F&amp;M__CELL-4__t-1,0'!$E$68,'Interf.F&amp;M__CELL-4__t-1,0'!$E$75)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('Interf.F&amp;M__CELL-4__t-1,0'!$G$59,'Interf.F&amp;M__CELL-4__t-1,0'!$G$66,'Interf.F&amp;M__CELL-4__t-1,0'!$G$73,'Interf.F&amp;M__CELL-4__t-1,0'!$G$80)</c:f>
              <c:numCache>
                <c:formatCode>0.00</c:formatCode>
                <c:ptCount val="4"/>
                <c:pt idx="0">
                  <c:v>0.11504041817563022</c:v>
                </c:pt>
                <c:pt idx="1">
                  <c:v>0.38163408290437328</c:v>
                </c:pt>
                <c:pt idx="2">
                  <c:v>0.3691296896244135</c:v>
                </c:pt>
                <c:pt idx="3">
                  <c:v>0.17481159694349305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E-453C-9049-CB7AC9F04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602104043413585"/>
          <c:y val="3.3805555555555554E-2"/>
          <c:w val="0.24821947979767447"/>
          <c:h val="0.1114691358024691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d_t,4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9416147117923432"/>
          <c:y val="0.7626087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('Interf.F&amp;M__CELL-2__t-1,0'!$O$56,'Interf.F&amp;M__CELL-2__t-1,0'!$O$63,'Interf.F&amp;M__CELL-2__t-1,0'!$O$70,'Interf.F&amp;M__CELL-2__t-1,0'!$O$77)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('Interf.F&amp;M__CELL-2__t-1,0'!$Q$61,'Interf.F&amp;M__CELL-2__t-1,0'!$Q$68,'Interf.F&amp;M__CELL-2__t-1,0'!$Q$75,'Interf.F&amp;M__CELL-2__t-1,0'!$Q$82)</c:f>
              <c:numCache>
                <c:formatCode>0.00</c:formatCode>
                <c:ptCount val="4"/>
                <c:pt idx="0">
                  <c:v>9.1533525399462579E-2</c:v>
                </c:pt>
                <c:pt idx="1">
                  <c:v>0.22093419388424207</c:v>
                </c:pt>
                <c:pt idx="2">
                  <c:v>0.19852944476039164</c:v>
                </c:pt>
                <c:pt idx="3">
                  <c:v>0.12021815004229039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0D-4BB5-BA5D-546C6AA4DBFE}"/>
            </c:ext>
          </c:extLst>
        </c:ser>
        <c:ser>
          <c:idx val="1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('Interf.F&amp;M__CELL-4__t-1,0'!$O$54,'Interf.F&amp;M__CELL-4__t-1,0'!$O$61,'Interf.F&amp;M__CELL-4__t-1,0'!$O$68,'Interf.F&amp;M__CELL-4__t-1,0'!$O$75)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('Interf.F&amp;M__CELL-4__t-1,0'!$Q$59,'Interf.F&amp;M__CELL-4__t-1,0'!$Q$66,'Interf.F&amp;M__CELL-4__t-1,0'!$Q$73,'Interf.F&amp;M__CELL-4__t-1,0'!$Q$80)</c:f>
              <c:numCache>
                <c:formatCode>0.00</c:formatCode>
                <c:ptCount val="4"/>
                <c:pt idx="0">
                  <c:v>0.17656203311303248</c:v>
                </c:pt>
                <c:pt idx="1">
                  <c:v>0.40148645145891421</c:v>
                </c:pt>
                <c:pt idx="2">
                  <c:v>0.34882102729703557</c:v>
                </c:pt>
                <c:pt idx="3">
                  <c:v>0.13461512229497694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0D-4BB5-BA5D-546C6AA4D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602104043413585"/>
          <c:y val="3.3805555555555554E-2"/>
          <c:w val="0.24821947979767447"/>
          <c:h val="0.1114691358024691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4268595766697167"/>
          <c:y val="0.73223055555555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78699305555555543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('Interf.F&amp;M__CELL-4__t-1,0'!$O$23,'Interf.F&amp;M__CELL-4__t-1,0'!$O$30,'Interf.F&amp;M__CELL-4__t-1,0'!$O$37,'Interf.F&amp;M__CELL-4__t-1,0'!$O$44)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('Interf.F&amp;M__CELL-4__t-1,0'!$Q$28,'Interf.F&amp;M__CELL-4__t-1,0'!$Q$35,'Interf.F&amp;M__CELL-4__t-1,0'!$Q$42,'Interf.F&amp;M__CELL-4__t-1,0'!$Q$49)</c:f>
              <c:numCache>
                <c:formatCode>0.00</c:formatCode>
                <c:ptCount val="4"/>
                <c:pt idx="0">
                  <c:v>0.2060724012537376</c:v>
                </c:pt>
                <c:pt idx="1">
                  <c:v>0.39993561671731398</c:v>
                </c:pt>
                <c:pt idx="2">
                  <c:v>0.34737285553620545</c:v>
                </c:pt>
                <c:pt idx="3">
                  <c:v>0.13461512229497691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B9-460F-81FE-09EEA3A1AB38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('Interf.F&amp;M__CELL-4__t-1,0'!$O$54,'Interf.F&amp;M__CELL-4__t-1,0'!$O$61,'Interf.F&amp;M__CELL-4__t-1,0'!$O$68,'Interf.F&amp;M__CELL-4__t-1,0'!$O$75)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('Interf.F&amp;M__CELL-4__t-1,0'!$Q$59,'Interf.F&amp;M__CELL-4__t-1,0'!$Q$66,'Interf.F&amp;M__CELL-4__t-1,0'!$Q$73,'Interf.F&amp;M__CELL-4__t-1,0'!$Q$80)</c:f>
              <c:numCache>
                <c:formatCode>0.00</c:formatCode>
                <c:ptCount val="4"/>
                <c:pt idx="0">
                  <c:v>0.17656203311303248</c:v>
                </c:pt>
                <c:pt idx="1">
                  <c:v>0.40148645145891421</c:v>
                </c:pt>
                <c:pt idx="2">
                  <c:v>0.34882102729703557</c:v>
                </c:pt>
                <c:pt idx="3">
                  <c:v>0.13461512229497694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2B9-460F-81FE-09EEA3A1A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44902611331347031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0.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274573389876"/>
          <c:y val="3.9685185185185184E-2"/>
          <c:w val="0.22949655984773989"/>
          <c:h val="0.1173486111111111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2395037286833444"/>
          <c:y val="0.720471296296296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78111342592592581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('Interf.F&amp;M__CELL-4__t-1,0'!$E$23,'Interf.F&amp;M__CELL-4__t-1,0'!$E$30,'Interf.F&amp;M__CELL-4__t-1,0'!$E$37,'Interf.F&amp;M__CELL-4__t-1,0'!$E$44)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('Interf.F&amp;M__CELL-4__t-1,0'!$G$28,'Interf.F&amp;M__CELL-4__t-1,0'!$G$35,'Interf.F&amp;M__CELL-4__t-1,0'!$G$42,'Interf.F&amp;M__CELL-4__t-1,0'!$G$49)</c:f>
              <c:numCache>
                <c:formatCode>0.00</c:formatCode>
                <c:ptCount val="4"/>
                <c:pt idx="0">
                  <c:v>0.15605482813389837</c:v>
                </c:pt>
                <c:pt idx="1">
                  <c:v>0.38163408290437328</c:v>
                </c:pt>
                <c:pt idx="2">
                  <c:v>0.36837951091825977</c:v>
                </c:pt>
                <c:pt idx="3">
                  <c:v>0.17406187309884893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76-44A7-AF17-3F6B8EAB254F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('Interf.F&amp;M__CELL-4__t-1,0'!$E$54,'Interf.F&amp;M__CELL-4__t-1,0'!$E$61,'Interf.F&amp;M__CELL-4__t-1,0'!$E$68,'Interf.F&amp;M__CELL-4__t-1,0'!$E$75)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('Interf.F&amp;M__CELL-4__t-1,0'!$G$59,'Interf.F&amp;M__CELL-4__t-1,0'!$G$66,'Interf.F&amp;M__CELL-4__t-1,0'!$G$73,'Interf.F&amp;M__CELL-4__t-1,0'!$G$80)</c:f>
              <c:numCache>
                <c:formatCode>0.00</c:formatCode>
                <c:ptCount val="4"/>
                <c:pt idx="0">
                  <c:v>0.11504041817563022</c:v>
                </c:pt>
                <c:pt idx="1">
                  <c:v>0.38163408290437328</c:v>
                </c:pt>
                <c:pt idx="2">
                  <c:v>0.3691296896244135</c:v>
                </c:pt>
                <c:pt idx="3">
                  <c:v>0.17481159694349305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76-44A7-AF17-3F6B8EAB2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44434538332598666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0.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3006327126865"/>
          <c:y val="3.9685185185185184E-2"/>
          <c:w val="0.22949655984773989"/>
          <c:h val="0.1232282407407407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4264490989689049"/>
          <c:y val="0.73223055555555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78699305555555543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strRef>
              <c:f>('Interf.F&amp;M__CELL-5__t-1,0'!$O$23,'Interf.F&amp;M__CELL-5__t-1,0'!$O$30,'Interf.F&amp;M__CELL-5__t-1,0'!$O$37,'Interf.F&amp;M__CELL-5__t-1,0'!$O$44)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('Interf.F&amp;M__CELL-5__t-1,0'!$Q$28,'Interf.F&amp;M__CELL-5__t-1,0'!$Q$35,'Interf.F&amp;M__CELL-5__t-1,0'!$Q$42,'Interf.F&amp;M__CELL-5__t-1,0'!$Q$49)</c:f>
              <c:numCache>
                <c:formatCode>0.00</c:formatCode>
                <c:ptCount val="4"/>
                <c:pt idx="0">
                  <c:v>0.58922707323707224</c:v>
                </c:pt>
                <c:pt idx="1">
                  <c:v>0.40852769517985849</c:v>
                </c:pt>
                <c:pt idx="2">
                  <c:v>0.23604320324262781</c:v>
                </c:pt>
                <c:pt idx="3">
                  <c:v>9.5690558927641639E-2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FB-4207-A416-7DABF88ED1BC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('Interf.F&amp;M__CELL-5__t-1,0'!$O$55,'Interf.F&amp;M__CELL-5__t-1,0'!$O$62,'Interf.F&amp;M__CELL-5__t-1,0'!$O$69,'Interf.F&amp;M__CELL-5__t-1,0'!$O$76)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('Interf.F&amp;M__CELL-5__t-1,0'!$Q$60,'Interf.F&amp;M__CELL-5__t-1,0'!$Q$67,'Interf.F&amp;M__CELL-5__t-1,0'!$Q$74,'Interf.F&amp;M__CELL-5__t-1,0'!$Q$81)</c:f>
              <c:numCache>
                <c:formatCode>0.00</c:formatCode>
                <c:ptCount val="4"/>
                <c:pt idx="0">
                  <c:v>0.58851961178869749</c:v>
                </c:pt>
                <c:pt idx="1">
                  <c:v>0.40711308885155623</c:v>
                </c:pt>
                <c:pt idx="2">
                  <c:v>0.235689735991227</c:v>
                </c:pt>
                <c:pt idx="3">
                  <c:v>9.6393868992833628E-2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FB-4207-A416-7DABF88ED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47711049323837224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0.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6880970409371"/>
          <c:y val="3.9685185185185184E-2"/>
          <c:w val="0.22949655984773989"/>
          <c:h val="0.1232282407407407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2395074222775437"/>
          <c:y val="0.732230555555555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78699305555555543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strRef>
              <c:f>('Interf.F&amp;M__CELL-5__t-1,0'!$E$23,'Interf.F&amp;M__CELL-5__t-1,0'!$E$30,'Interf.F&amp;M__CELL-5__t-1,0'!$E$37,'Interf.F&amp;M__CELL-5__t-1,0'!$E$44)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('Interf.F&amp;M__CELL-5__t-1,0'!$G$28,'Interf.F&amp;M__CELL-5__t-1,0'!$G$35,'Interf.F&amp;M__CELL-5__t-1,0'!$G$42,'Interf.F&amp;M__CELL-5__t-1,0'!$G$49)</c:f>
              <c:numCache>
                <c:formatCode>0.00</c:formatCode>
                <c:ptCount val="4"/>
                <c:pt idx="0">
                  <c:v>0.56061522492613225</c:v>
                </c:pt>
                <c:pt idx="1">
                  <c:v>0.3877644413360184</c:v>
                </c:pt>
                <c:pt idx="2">
                  <c:v>0.22530265769716526</c:v>
                </c:pt>
                <c:pt idx="3">
                  <c:v>8.7781197075115738E-2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78-400F-AF8E-E93E8BFCF883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('Interf.F&amp;M__CELL-5__t-1,0'!$E$55,'Interf.F&amp;M__CELL-5__t-1,0'!$E$62,'Interf.F&amp;M__CELL-5__t-1,0'!$E$69,'Interf.F&amp;M__CELL-5__t-1,0'!$E$76)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('Interf.F&amp;M__CELL-5__t-1,0'!$G$60,'Interf.F&amp;M__CELL-5__t-1,0'!$G$67,'Interf.F&amp;M__CELL-5__t-1,0'!$G$74,'Interf.F&amp;M__CELL-5__t-1,0'!$G$81)</c:f>
              <c:numCache>
                <c:formatCode>0.00</c:formatCode>
                <c:ptCount val="4"/>
                <c:pt idx="0">
                  <c:v>0.56165358462200332</c:v>
                </c:pt>
                <c:pt idx="1">
                  <c:v>0.38673466567547815</c:v>
                </c:pt>
                <c:pt idx="2">
                  <c:v>0.22469250024538737</c:v>
                </c:pt>
                <c:pt idx="3">
                  <c:v>8.7781197075115738E-2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78-400F-AF8E-E93E8BFCF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43030319336353573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0.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4022406848029"/>
          <c:y val="3.9685185185185184E-2"/>
          <c:w val="0.22949655984773989"/>
          <c:h val="0.12910787037037036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1447407407407417"/>
          <c:y val="0.7626087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9789851851851853"/>
          <c:y val="2.472469135802469E-2"/>
          <c:w val="0.72618370370370366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'Panel-stress_t-1,0'!$E$17:$E$24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'Panel-stress_t-1,0'!$F$17:$F$24</c:f>
              <c:numCache>
                <c:formatCode>0.00</c:formatCode>
                <c:ptCount val="8"/>
                <c:pt idx="0">
                  <c:v>-0.25</c:v>
                </c:pt>
                <c:pt idx="1">
                  <c:v>-0.85</c:v>
                </c:pt>
                <c:pt idx="2">
                  <c:v>-1.54</c:v>
                </c:pt>
                <c:pt idx="3">
                  <c:v>-2.25</c:v>
                </c:pt>
                <c:pt idx="4">
                  <c:v>-3.46</c:v>
                </c:pt>
                <c:pt idx="5">
                  <c:v>-5.34</c:v>
                </c:pt>
                <c:pt idx="6">
                  <c:v>-7.28</c:v>
                </c:pt>
                <c:pt idx="7">
                  <c:v>-8.94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AB-48D4-A958-16A8C4CCF782}"/>
            </c:ext>
          </c:extLst>
        </c:ser>
        <c:ser>
          <c:idx val="1"/>
          <c:order val="1"/>
          <c:tx>
            <c:v>d_t,2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'Panel-stress_t-1,0'!$E$32:$E$39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'Panel-stress_t-1,0'!$F$32:$F$39</c:f>
              <c:numCache>
                <c:formatCode>0.00</c:formatCode>
                <c:ptCount val="8"/>
                <c:pt idx="0">
                  <c:v>-0.26</c:v>
                </c:pt>
                <c:pt idx="1">
                  <c:v>-0.85</c:v>
                </c:pt>
                <c:pt idx="2">
                  <c:v>-1.53</c:v>
                </c:pt>
                <c:pt idx="3">
                  <c:v>-2.23</c:v>
                </c:pt>
                <c:pt idx="4">
                  <c:v>-3.44</c:v>
                </c:pt>
                <c:pt idx="5">
                  <c:v>-5.3</c:v>
                </c:pt>
                <c:pt idx="6">
                  <c:v>-7.23</c:v>
                </c:pt>
                <c:pt idx="7">
                  <c:v>-8.8699999999999992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EAB-48D4-A958-16A8C4CCF782}"/>
            </c:ext>
          </c:extLst>
        </c:ser>
        <c:ser>
          <c:idx val="2"/>
          <c:order val="2"/>
          <c:tx>
            <c:v>d_t,3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'Panel-stress_t-1,0'!$F$47:$F$54</c:f>
              <c:numCache>
                <c:formatCode>0.00</c:formatCode>
                <c:ptCount val="8"/>
                <c:pt idx="0">
                  <c:v>-0.26</c:v>
                </c:pt>
                <c:pt idx="1">
                  <c:v>-0.84</c:v>
                </c:pt>
                <c:pt idx="2">
                  <c:v>-1.52</c:v>
                </c:pt>
                <c:pt idx="3">
                  <c:v>-2.2000000000000002</c:v>
                </c:pt>
                <c:pt idx="4">
                  <c:v>-3.41</c:v>
                </c:pt>
                <c:pt idx="5">
                  <c:v>-5.26</c:v>
                </c:pt>
                <c:pt idx="6">
                  <c:v>-7.17</c:v>
                </c:pt>
                <c:pt idx="7">
                  <c:v>-8.81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AB-48D4-A958-16A8C4CCF782}"/>
            </c:ext>
          </c:extLst>
        </c:ser>
        <c:ser>
          <c:idx val="3"/>
          <c:order val="3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'Panel-stress_t-1,0'!$E$62:$E$69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'Panel-stress_t-1,0'!$F$62:$F$69</c:f>
              <c:numCache>
                <c:formatCode>0.00</c:formatCode>
                <c:ptCount val="8"/>
                <c:pt idx="0">
                  <c:v>-0.26</c:v>
                </c:pt>
                <c:pt idx="1">
                  <c:v>-0.83</c:v>
                </c:pt>
                <c:pt idx="2">
                  <c:v>-1.49</c:v>
                </c:pt>
                <c:pt idx="3">
                  <c:v>-2.16</c:v>
                </c:pt>
                <c:pt idx="4">
                  <c:v>-3.37</c:v>
                </c:pt>
                <c:pt idx="5">
                  <c:v>-5.19</c:v>
                </c:pt>
                <c:pt idx="6">
                  <c:v>-7.12</c:v>
                </c:pt>
                <c:pt idx="7">
                  <c:v>-8.8000000000000007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AB-48D4-A958-16A8C4CCF782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'Panel-stress_t-1,0'!$E$17:$E$24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'Panel-stress_t-1,0'!$H$17:$H$24</c:f>
              <c:numCache>
                <c:formatCode>0.00</c:formatCode>
                <c:ptCount val="8"/>
                <c:pt idx="0">
                  <c:v>0.35</c:v>
                </c:pt>
                <c:pt idx="1">
                  <c:v>1.1399999999999999</c:v>
                </c:pt>
                <c:pt idx="2">
                  <c:v>2.08</c:v>
                </c:pt>
                <c:pt idx="3">
                  <c:v>3.03</c:v>
                </c:pt>
                <c:pt idx="4">
                  <c:v>4.6500000000000004</c:v>
                </c:pt>
                <c:pt idx="5">
                  <c:v>7.22</c:v>
                </c:pt>
                <c:pt idx="6">
                  <c:v>9.8699999999999992</c:v>
                </c:pt>
                <c:pt idx="7">
                  <c:v>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EAB-48D4-A958-16A8C4CCF782}"/>
            </c:ext>
          </c:extLst>
        </c:ser>
        <c:ser>
          <c:idx val="5"/>
          <c:order val="5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'Panel-stress_t-1,0'!$E$32:$E$39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'Panel-stress_t-1,0'!$H$32:$H$39</c:f>
              <c:numCache>
                <c:formatCode>0.00</c:formatCode>
                <c:ptCount val="8"/>
                <c:pt idx="0">
                  <c:v>0.35</c:v>
                </c:pt>
                <c:pt idx="1">
                  <c:v>1.1399999999999999</c:v>
                </c:pt>
                <c:pt idx="2">
                  <c:v>2.08</c:v>
                </c:pt>
                <c:pt idx="3">
                  <c:v>3.03</c:v>
                </c:pt>
                <c:pt idx="4">
                  <c:v>4.6500000000000004</c:v>
                </c:pt>
                <c:pt idx="5">
                  <c:v>7.22</c:v>
                </c:pt>
                <c:pt idx="6">
                  <c:v>9.8699999999999992</c:v>
                </c:pt>
                <c:pt idx="7">
                  <c:v>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EAB-48D4-A958-16A8C4CCF782}"/>
            </c:ext>
          </c:extLst>
        </c:ser>
        <c:ser>
          <c:idx val="6"/>
          <c:order val="6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'Panel-stress_t-1,0'!$H$47:$H$54</c:f>
              <c:numCache>
                <c:formatCode>0.00</c:formatCode>
                <c:ptCount val="8"/>
                <c:pt idx="0">
                  <c:v>0.36</c:v>
                </c:pt>
                <c:pt idx="1">
                  <c:v>1.1399999999999999</c:v>
                </c:pt>
                <c:pt idx="2">
                  <c:v>2.08</c:v>
                </c:pt>
                <c:pt idx="3">
                  <c:v>3.03</c:v>
                </c:pt>
                <c:pt idx="4">
                  <c:v>4.6500000000000004</c:v>
                </c:pt>
                <c:pt idx="5">
                  <c:v>7.22</c:v>
                </c:pt>
                <c:pt idx="6">
                  <c:v>9.8699999999999992</c:v>
                </c:pt>
                <c:pt idx="7">
                  <c:v>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EAB-48D4-A958-16A8C4CCF782}"/>
            </c:ext>
          </c:extLst>
        </c:ser>
        <c:ser>
          <c:idx val="7"/>
          <c:order val="7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'Panel-stress_t-1,0'!$E$62:$E$69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'Panel-stress_t-1,0'!$H$62:$H$69</c:f>
              <c:numCache>
                <c:formatCode>0.00</c:formatCode>
                <c:ptCount val="8"/>
                <c:pt idx="0">
                  <c:v>0.36</c:v>
                </c:pt>
                <c:pt idx="1">
                  <c:v>1.1399999999999999</c:v>
                </c:pt>
                <c:pt idx="2">
                  <c:v>2.0699999999999998</c:v>
                </c:pt>
                <c:pt idx="3">
                  <c:v>3.03</c:v>
                </c:pt>
                <c:pt idx="4">
                  <c:v>4.6500000000000004</c:v>
                </c:pt>
                <c:pt idx="5">
                  <c:v>7.22</c:v>
                </c:pt>
                <c:pt idx="6">
                  <c:v>9.8699999999999992</c:v>
                </c:pt>
                <c:pt idx="7">
                  <c:v>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EAB-48D4-A958-16A8C4CCF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5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-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σ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min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e </a:t>
                </a:r>
                <a:r>
                  <a:rPr lang="el-GR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u="none" strike="noStrike" baseline="-25000">
                    <a:solidFill>
                      <a:sysClr val="windowText" lastClr="000000"/>
                    </a:solidFill>
                    <a:effectLst/>
                  </a:rPr>
                  <a:t>max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19663666666666665"/>
          <c:y val="3.3805555555555554E-2"/>
          <c:w val="0.22949655984773989"/>
          <c:h val="0.18864043209876546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3799259259259256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'Panel-stress_t-1,0'!$E$17:$E$24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'Panel-stress_t-1,0'!$I$17:$I$24</c:f>
              <c:numCache>
                <c:formatCode>0.00</c:formatCode>
                <c:ptCount val="8"/>
                <c:pt idx="0">
                  <c:v>-0.35</c:v>
                </c:pt>
                <c:pt idx="1">
                  <c:v>-1.1399999999999999</c:v>
                </c:pt>
                <c:pt idx="2">
                  <c:v>-2.0699999999999998</c:v>
                </c:pt>
                <c:pt idx="3">
                  <c:v>-3.03</c:v>
                </c:pt>
                <c:pt idx="4">
                  <c:v>-4.6500000000000004</c:v>
                </c:pt>
                <c:pt idx="5">
                  <c:v>-7.22</c:v>
                </c:pt>
                <c:pt idx="6">
                  <c:v>-9.8699999999999992</c:v>
                </c:pt>
                <c:pt idx="7">
                  <c:v>-12.13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B9-48E0-B65F-A8A5A1FF67C0}"/>
            </c:ext>
          </c:extLst>
        </c:ser>
        <c:ser>
          <c:idx val="1"/>
          <c:order val="1"/>
          <c:tx>
            <c:v>d_t,2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'Panel-stress_t-1,0'!$E$32:$E$39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'Panel-stress_t-1,0'!$I$32:$I$39</c:f>
              <c:numCache>
                <c:formatCode>0.00</c:formatCode>
                <c:ptCount val="8"/>
                <c:pt idx="0">
                  <c:v>-0.35</c:v>
                </c:pt>
                <c:pt idx="1">
                  <c:v>-1.1399999999999999</c:v>
                </c:pt>
                <c:pt idx="2">
                  <c:v>-2.0699999999999998</c:v>
                </c:pt>
                <c:pt idx="3">
                  <c:v>-3.03</c:v>
                </c:pt>
                <c:pt idx="4">
                  <c:v>-4.6500000000000004</c:v>
                </c:pt>
                <c:pt idx="5">
                  <c:v>-7.22</c:v>
                </c:pt>
                <c:pt idx="6">
                  <c:v>-9.8699999999999992</c:v>
                </c:pt>
                <c:pt idx="7">
                  <c:v>-12.13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DB9-48E0-B65F-A8A5A1FF67C0}"/>
            </c:ext>
          </c:extLst>
        </c:ser>
        <c:ser>
          <c:idx val="2"/>
          <c:order val="2"/>
          <c:tx>
            <c:v>d_t,3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'Panel-stress_t-1,0'!$I$47:$I$54</c:f>
              <c:numCache>
                <c:formatCode>0.00</c:formatCode>
                <c:ptCount val="8"/>
                <c:pt idx="0">
                  <c:v>-0.35</c:v>
                </c:pt>
                <c:pt idx="1">
                  <c:v>-1.1399999999999999</c:v>
                </c:pt>
                <c:pt idx="2">
                  <c:v>-2.0699999999999998</c:v>
                </c:pt>
                <c:pt idx="3">
                  <c:v>-3.03</c:v>
                </c:pt>
                <c:pt idx="4">
                  <c:v>-4.6500000000000004</c:v>
                </c:pt>
                <c:pt idx="5">
                  <c:v>-7.21</c:v>
                </c:pt>
                <c:pt idx="6">
                  <c:v>-9.86</c:v>
                </c:pt>
                <c:pt idx="7">
                  <c:v>-12.13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B9-48E0-B65F-A8A5A1FF67C0}"/>
            </c:ext>
          </c:extLst>
        </c:ser>
        <c:ser>
          <c:idx val="3"/>
          <c:order val="3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'Panel-stress_t-1,0'!$E$62:$E$69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'Panel-stress_t-1,0'!$I$62:$I$69</c:f>
              <c:numCache>
                <c:formatCode>0.00</c:formatCode>
                <c:ptCount val="8"/>
                <c:pt idx="0">
                  <c:v>-0.35</c:v>
                </c:pt>
                <c:pt idx="1">
                  <c:v>-1.1399999999999999</c:v>
                </c:pt>
                <c:pt idx="2">
                  <c:v>-2.0699999999999998</c:v>
                </c:pt>
                <c:pt idx="3">
                  <c:v>-3.03</c:v>
                </c:pt>
                <c:pt idx="4">
                  <c:v>-4.6500000000000004</c:v>
                </c:pt>
                <c:pt idx="5">
                  <c:v>-7.21</c:v>
                </c:pt>
                <c:pt idx="6">
                  <c:v>-9.86</c:v>
                </c:pt>
                <c:pt idx="7">
                  <c:v>-12.12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B9-48E0-B65F-A8A5A1FF67C0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'Panel-stress_t-1,0'!$E$17:$E$24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'Panel-stress_t-1,0'!$K$17:$K$24</c:f>
              <c:numCache>
                <c:formatCode>0.00</c:formatCode>
                <c:ptCount val="8"/>
                <c:pt idx="0">
                  <c:v>0.23</c:v>
                </c:pt>
                <c:pt idx="1">
                  <c:v>0.82</c:v>
                </c:pt>
                <c:pt idx="2">
                  <c:v>1.5</c:v>
                </c:pt>
                <c:pt idx="3">
                  <c:v>2.2000000000000002</c:v>
                </c:pt>
                <c:pt idx="4">
                  <c:v>3.44</c:v>
                </c:pt>
                <c:pt idx="5">
                  <c:v>5.32</c:v>
                </c:pt>
                <c:pt idx="6">
                  <c:v>7.27</c:v>
                </c:pt>
                <c:pt idx="7">
                  <c:v>8.93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B9-48E0-B65F-A8A5A1FF67C0}"/>
            </c:ext>
          </c:extLst>
        </c:ser>
        <c:ser>
          <c:idx val="5"/>
          <c:order val="5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'Panel-stress_t-1,0'!$E$32:$E$39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'Panel-stress_t-1,0'!$K$32:$K$39</c:f>
              <c:numCache>
                <c:formatCode>0.00</c:formatCode>
                <c:ptCount val="8"/>
                <c:pt idx="0">
                  <c:v>0.24</c:v>
                </c:pt>
                <c:pt idx="1">
                  <c:v>0.82</c:v>
                </c:pt>
                <c:pt idx="2">
                  <c:v>1.5</c:v>
                </c:pt>
                <c:pt idx="3">
                  <c:v>2.19</c:v>
                </c:pt>
                <c:pt idx="4">
                  <c:v>3.42</c:v>
                </c:pt>
                <c:pt idx="5">
                  <c:v>5.29</c:v>
                </c:pt>
                <c:pt idx="6">
                  <c:v>7.22</c:v>
                </c:pt>
                <c:pt idx="7">
                  <c:v>8.86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B9-48E0-B65F-A8A5A1FF67C0}"/>
            </c:ext>
          </c:extLst>
        </c:ser>
        <c:ser>
          <c:idx val="6"/>
          <c:order val="6"/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'Panel-stress_t-1,0'!$K$47:$K$54</c:f>
              <c:numCache>
                <c:formatCode>0.00</c:formatCode>
                <c:ptCount val="8"/>
                <c:pt idx="0">
                  <c:v>0.24</c:v>
                </c:pt>
                <c:pt idx="1">
                  <c:v>0.82</c:v>
                </c:pt>
                <c:pt idx="2">
                  <c:v>1.49</c:v>
                </c:pt>
                <c:pt idx="3">
                  <c:v>2.1800000000000002</c:v>
                </c:pt>
                <c:pt idx="4">
                  <c:v>3.41</c:v>
                </c:pt>
                <c:pt idx="5">
                  <c:v>5.26</c:v>
                </c:pt>
                <c:pt idx="6">
                  <c:v>7.17</c:v>
                </c:pt>
                <c:pt idx="7">
                  <c:v>8.8000000000000007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B9-48E0-B65F-A8A5A1FF67C0}"/>
            </c:ext>
          </c:extLst>
        </c:ser>
        <c:ser>
          <c:idx val="7"/>
          <c:order val="7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'Panel-stress_t-1,0'!$E$62:$E$69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'Panel-stress_t-1,0'!$K$62:$K$69</c:f>
              <c:numCache>
                <c:formatCode>0.00</c:formatCode>
                <c:ptCount val="8"/>
                <c:pt idx="0">
                  <c:v>0.24</c:v>
                </c:pt>
                <c:pt idx="1">
                  <c:v>0.81</c:v>
                </c:pt>
                <c:pt idx="2">
                  <c:v>1.47</c:v>
                </c:pt>
                <c:pt idx="3">
                  <c:v>2.15</c:v>
                </c:pt>
                <c:pt idx="4">
                  <c:v>3.37</c:v>
                </c:pt>
                <c:pt idx="5">
                  <c:v>5.2</c:v>
                </c:pt>
                <c:pt idx="6">
                  <c:v>7.09</c:v>
                </c:pt>
                <c:pt idx="7">
                  <c:v>8.76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B9-48E0-B65F-A8A5A1FF6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5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-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σ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min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e </a:t>
                </a:r>
                <a:r>
                  <a:rPr lang="el-GR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u="none" strike="noStrike" baseline="-25000">
                    <a:solidFill>
                      <a:sysClr val="windowText" lastClr="000000"/>
                    </a:solidFill>
                    <a:effectLst/>
                  </a:rPr>
                  <a:t>max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4037037037036"/>
          <c:y val="3.3805555555555554E-2"/>
          <c:w val="0.22949655984773989"/>
          <c:h val="0.18864043209876546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d_t,3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8973333333333331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2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12700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'Panel-stress_t-1,0'!$I$47:$I$54</c:f>
              <c:numCache>
                <c:formatCode>0.00</c:formatCode>
                <c:ptCount val="8"/>
                <c:pt idx="0">
                  <c:v>-0.35</c:v>
                </c:pt>
                <c:pt idx="1">
                  <c:v>-1.1399999999999999</c:v>
                </c:pt>
                <c:pt idx="2">
                  <c:v>-2.0699999999999998</c:v>
                </c:pt>
                <c:pt idx="3">
                  <c:v>-3.03</c:v>
                </c:pt>
                <c:pt idx="4">
                  <c:v>-4.6500000000000004</c:v>
                </c:pt>
                <c:pt idx="5">
                  <c:v>-7.21</c:v>
                </c:pt>
                <c:pt idx="6">
                  <c:v>-9.86</c:v>
                </c:pt>
                <c:pt idx="7">
                  <c:v>-12.13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F3-4479-B933-D404294BA212}"/>
            </c:ext>
          </c:extLst>
        </c:ser>
        <c:ser>
          <c:idx val="3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'Panel-stress_t-1,0'!$M$47:$M$54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'Panel-stress_t-1,0'!$Q$47:$Q$54</c:f>
              <c:numCache>
                <c:formatCode>0.00</c:formatCode>
                <c:ptCount val="8"/>
                <c:pt idx="0">
                  <c:v>-0.36</c:v>
                </c:pt>
                <c:pt idx="1">
                  <c:v>-1.22</c:v>
                </c:pt>
                <c:pt idx="2">
                  <c:v>-2.1</c:v>
                </c:pt>
                <c:pt idx="3">
                  <c:v>-3.08</c:v>
                </c:pt>
                <c:pt idx="4">
                  <c:v>-4.68</c:v>
                </c:pt>
                <c:pt idx="5">
                  <c:v>-7.17</c:v>
                </c:pt>
                <c:pt idx="6">
                  <c:v>-9.8699999999999992</c:v>
                </c:pt>
                <c:pt idx="7">
                  <c:v>-12.27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F3-4479-B933-D404294BA212}"/>
            </c:ext>
          </c:extLst>
        </c:ser>
        <c:ser>
          <c:idx val="6"/>
          <c:order val="2"/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'Panel-stress_t-1,0'!$K$47:$K$54</c:f>
              <c:numCache>
                <c:formatCode>0.00</c:formatCode>
                <c:ptCount val="8"/>
                <c:pt idx="0">
                  <c:v>0.24</c:v>
                </c:pt>
                <c:pt idx="1">
                  <c:v>0.82</c:v>
                </c:pt>
                <c:pt idx="2">
                  <c:v>1.49</c:v>
                </c:pt>
                <c:pt idx="3">
                  <c:v>2.1800000000000002</c:v>
                </c:pt>
                <c:pt idx="4">
                  <c:v>3.41</c:v>
                </c:pt>
                <c:pt idx="5">
                  <c:v>5.26</c:v>
                </c:pt>
                <c:pt idx="6">
                  <c:v>7.17</c:v>
                </c:pt>
                <c:pt idx="7">
                  <c:v>8.8000000000000007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F3-4479-B933-D404294BA212}"/>
            </c:ext>
          </c:extLst>
        </c:ser>
        <c:ser>
          <c:idx val="7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'Panel-stress_t-1,0'!$M$47:$M$54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'Panel-stress_t-1,0'!$S$47:$S$54</c:f>
              <c:numCache>
                <c:formatCode>General</c:formatCode>
                <c:ptCount val="8"/>
                <c:pt idx="0">
                  <c:v>0.25</c:v>
                </c:pt>
                <c:pt idx="1">
                  <c:v>0.88</c:v>
                </c:pt>
                <c:pt idx="2" formatCode="0.00">
                  <c:v>1.56</c:v>
                </c:pt>
                <c:pt idx="3" formatCode="0.00">
                  <c:v>2.29</c:v>
                </c:pt>
                <c:pt idx="4" formatCode="0.00">
                  <c:v>3.47</c:v>
                </c:pt>
                <c:pt idx="5" formatCode="0.00">
                  <c:v>5.43</c:v>
                </c:pt>
                <c:pt idx="6" formatCode="0.00">
                  <c:v>7.43</c:v>
                </c:pt>
                <c:pt idx="7" formatCode="0.00">
                  <c:v>9.2100000000000009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DF3-4479-B933-D404294BA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5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-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σ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min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e </a:t>
                </a:r>
                <a:r>
                  <a:rPr lang="el-GR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u="none" strike="noStrike" baseline="-25000">
                    <a:solidFill>
                      <a:sysClr val="windowText" lastClr="000000"/>
                    </a:solidFill>
                    <a:effectLst/>
                  </a:rPr>
                  <a:t>max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0147518518518517"/>
          <c:y val="3.3193672839506166E-2"/>
          <c:w val="0.26230259259259259"/>
          <c:h val="0.1065694444444444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d_t,3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7087741204147222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2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12700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'Panel-stress_t-1,0'!$F$47:$F$54</c:f>
              <c:numCache>
                <c:formatCode>0.00</c:formatCode>
                <c:ptCount val="8"/>
                <c:pt idx="0">
                  <c:v>-0.26</c:v>
                </c:pt>
                <c:pt idx="1">
                  <c:v>-0.84</c:v>
                </c:pt>
                <c:pt idx="2">
                  <c:v>-1.52</c:v>
                </c:pt>
                <c:pt idx="3">
                  <c:v>-2.2000000000000002</c:v>
                </c:pt>
                <c:pt idx="4">
                  <c:v>-3.41</c:v>
                </c:pt>
                <c:pt idx="5">
                  <c:v>-5.26</c:v>
                </c:pt>
                <c:pt idx="6">
                  <c:v>-7.17</c:v>
                </c:pt>
                <c:pt idx="7">
                  <c:v>-8.81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23-4F78-A503-9DA6EC0FA1A0}"/>
            </c:ext>
          </c:extLst>
        </c:ser>
        <c:ser>
          <c:idx val="3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'Panel-stress_t-1,0'!$M$47:$M$54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'Panel-stress_t-1,0'!$N$47:$N$54</c:f>
              <c:numCache>
                <c:formatCode>0.00</c:formatCode>
                <c:ptCount val="8"/>
                <c:pt idx="0">
                  <c:v>-0.26</c:v>
                </c:pt>
                <c:pt idx="1">
                  <c:v>-0.93</c:v>
                </c:pt>
                <c:pt idx="2">
                  <c:v>-1.61</c:v>
                </c:pt>
                <c:pt idx="3">
                  <c:v>-2.34</c:v>
                </c:pt>
                <c:pt idx="4">
                  <c:v>-3.53</c:v>
                </c:pt>
                <c:pt idx="5">
                  <c:v>-5.43</c:v>
                </c:pt>
                <c:pt idx="6">
                  <c:v>-7.44</c:v>
                </c:pt>
                <c:pt idx="7">
                  <c:v>-9.2100000000000009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23-4F78-A503-9DA6EC0FA1A0}"/>
            </c:ext>
          </c:extLst>
        </c:ser>
        <c:ser>
          <c:idx val="6"/>
          <c:order val="2"/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'Panel-stress_t-1,0'!$E$47:$E$54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'Panel-stress_t-1,0'!$H$47:$H$54</c:f>
              <c:numCache>
                <c:formatCode>0.00</c:formatCode>
                <c:ptCount val="8"/>
                <c:pt idx="0">
                  <c:v>0.36</c:v>
                </c:pt>
                <c:pt idx="1">
                  <c:v>1.1399999999999999</c:v>
                </c:pt>
                <c:pt idx="2">
                  <c:v>2.08</c:v>
                </c:pt>
                <c:pt idx="3">
                  <c:v>3.03</c:v>
                </c:pt>
                <c:pt idx="4">
                  <c:v>4.6500000000000004</c:v>
                </c:pt>
                <c:pt idx="5">
                  <c:v>7.22</c:v>
                </c:pt>
                <c:pt idx="6">
                  <c:v>9.8699999999999992</c:v>
                </c:pt>
                <c:pt idx="7">
                  <c:v>12.13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23-4F78-A503-9DA6EC0FA1A0}"/>
            </c:ext>
          </c:extLst>
        </c:ser>
        <c:ser>
          <c:idx val="7"/>
          <c:order val="3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'Panel-stress_t-1,0'!$M$47:$M$54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'Panel-stress_t-1,0'!$P$47:$P$54</c:f>
              <c:numCache>
                <c:formatCode>0.00</c:formatCode>
                <c:ptCount val="8"/>
                <c:pt idx="0">
                  <c:v>0.37</c:v>
                </c:pt>
                <c:pt idx="1">
                  <c:v>1.23</c:v>
                </c:pt>
                <c:pt idx="2">
                  <c:v>2.11</c:v>
                </c:pt>
                <c:pt idx="3">
                  <c:v>3.08</c:v>
                </c:pt>
                <c:pt idx="4">
                  <c:v>4.6900000000000004</c:v>
                </c:pt>
                <c:pt idx="5">
                  <c:v>7.18</c:v>
                </c:pt>
                <c:pt idx="6">
                  <c:v>9.8800000000000008</c:v>
                </c:pt>
                <c:pt idx="7">
                  <c:v>12.28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23-4F78-A503-9DA6EC0FA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5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-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σ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min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e </a:t>
                </a:r>
                <a:r>
                  <a:rPr lang="el-GR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u="none" strike="noStrike" baseline="-25000">
                    <a:solidFill>
                      <a:sysClr val="windowText" lastClr="000000"/>
                    </a:solidFill>
                    <a:effectLst/>
                  </a:rPr>
                  <a:t>max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0147518518518517"/>
          <c:y val="3.3193672839506166E-2"/>
          <c:w val="0.26230259259259259"/>
          <c:h val="0.1065694444444444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d_t,1 </a:t>
            </a:r>
          </a:p>
        </c:rich>
      </c:tx>
      <c:layout>
        <c:manualLayout>
          <c:xMode val="edge"/>
          <c:yMode val="edge"/>
          <c:x val="0.79713753090387474"/>
          <c:y val="0.7626087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96372471115843"/>
          <c:y val="2.472469135802469E-2"/>
          <c:w val="0.71211852050602009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('Buckling__t-1,0'!$F$27,'Buckling__t-1,0'!$F$32,'Buckling__t-1,0'!$F$37)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('Buckling__t-1,0'!$F$28,'Buckling__t-1,0'!$F$33,'Buckling__t-1,0'!$F$38)</c:f>
              <c:numCache>
                <c:formatCode>0.00</c:formatCode>
                <c:ptCount val="3"/>
                <c:pt idx="0">
                  <c:v>-0.54</c:v>
                </c:pt>
                <c:pt idx="1">
                  <c:v>-0.85</c:v>
                </c:pt>
                <c:pt idx="2">
                  <c:v>-1.29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E8-4A6F-B4CA-7A2517AD5B3A}"/>
            </c:ext>
          </c:extLst>
        </c:ser>
        <c:ser>
          <c:idx val="1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('Buckling__t-1,0'!$G$27,'Buckling__t-1,0'!$G$32,'Buckling__t-1,0'!$G$37)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('Buckling__t-1,0'!$G$28,'Buckling__t-1,0'!$G$33,'Buckling__t-1,0'!$G$38)</c:f>
              <c:numCache>
                <c:formatCode>0.00</c:formatCode>
                <c:ptCount val="3"/>
                <c:pt idx="0">
                  <c:v>-0.86</c:v>
                </c:pt>
                <c:pt idx="1">
                  <c:v>-1.37</c:v>
                </c:pt>
                <c:pt idx="2">
                  <c:v>-2.08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E8-4A6F-B4CA-7A2517AD5B3A}"/>
            </c:ext>
          </c:extLst>
        </c:ser>
        <c:ser>
          <c:idx val="2"/>
          <c:order val="2"/>
          <c:tx>
            <c:v>cella_5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('Buckling__t-1,0'!$H$27,'Buckling__t-1,0'!$H$32,'Buckling__t-1,0'!$H$37)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('Buckling__t-1,0'!$H$28,'Buckling__t-1,0'!$H$33,'Buckling__t-1,0'!$H$38)</c:f>
              <c:numCache>
                <c:formatCode>0.00</c:formatCode>
                <c:ptCount val="3"/>
                <c:pt idx="0">
                  <c:v>-0.69</c:v>
                </c:pt>
                <c:pt idx="1">
                  <c:v>-1.1000000000000001</c:v>
                </c:pt>
                <c:pt idx="2">
                  <c:v>-1.67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E8-4A6F-B4CA-7A2517AD5B3A}"/>
            </c:ext>
          </c:extLst>
        </c:ser>
        <c:ser>
          <c:idx val="3"/>
          <c:order val="3"/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('Buckling__t-1,0'!$F$27,'Buckling__t-1,0'!$F$32,'Buckling__t-1,0'!$F$37)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('Buckling__t-1,0'!$F$30,'Buckling__t-1,0'!$F$35,'Buckling__t-1,0'!$F$40)</c:f>
              <c:numCache>
                <c:formatCode>0.00</c:formatCode>
                <c:ptCount val="3"/>
                <c:pt idx="0">
                  <c:v>0.55000000000000004</c:v>
                </c:pt>
                <c:pt idx="1">
                  <c:v>1.01</c:v>
                </c:pt>
                <c:pt idx="2">
                  <c:v>1.52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E8-4A6F-B4CA-7A2517AD5B3A}"/>
            </c:ext>
          </c:extLst>
        </c:ser>
        <c:ser>
          <c:idx val="4"/>
          <c:order val="4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('Buckling__t-1,0'!$G$27,'Buckling__t-1,0'!$G$32,'Buckling__t-1,0'!$G$37)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('Buckling__t-1,0'!$G$30,'Buckling__t-1,0'!$G$35,'Buckling__t-1,0'!$G$40)</c:f>
              <c:numCache>
                <c:formatCode>0.00</c:formatCode>
                <c:ptCount val="3"/>
                <c:pt idx="0">
                  <c:v>0.86</c:v>
                </c:pt>
                <c:pt idx="1">
                  <c:v>1.39</c:v>
                </c:pt>
                <c:pt idx="2">
                  <c:v>2.4500000000000002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E8-4A6F-B4CA-7A2517AD5B3A}"/>
            </c:ext>
          </c:extLst>
        </c:ser>
        <c:ser>
          <c:idx val="5"/>
          <c:order val="5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('Buckling__t-1,0'!$H$27,'Buckling__t-1,0'!$H$32,'Buckling__t-1,0'!$H$37)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('Buckling__t-1,0'!$H$30,'Buckling__t-1,0'!$H$35,'Buckling__t-1,0'!$H$40)</c:f>
              <c:numCache>
                <c:formatCode>0.00</c:formatCode>
                <c:ptCount val="3"/>
                <c:pt idx="0">
                  <c:v>0.7</c:v>
                </c:pt>
                <c:pt idx="1">
                  <c:v>1.1200000000000001</c:v>
                </c:pt>
                <c:pt idx="2">
                  <c:v>1.97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E8-4A6F-B4CA-7A2517AD5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2000"/>
          <c:min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2.5"/>
        <c:crossBetween val="midCat"/>
        <c:majorUnit val="400"/>
        <c:minorUnit val="200"/>
      </c:valAx>
      <c:valAx>
        <c:axId val="464055376"/>
        <c:scaling>
          <c:orientation val="minMax"/>
          <c:max val="2.5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n,min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e </a:t>
                </a: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n,max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11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038194444444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5"/>
        <c:minorUnit val="0.2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1531357942424809"/>
          <c:y val="3.5949459876543216E-2"/>
          <c:w val="0.26102146059415049"/>
          <c:h val="0.15005478395061728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'w-max_analysis_t-1,0'!$E$19:$E$26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'w-max_analysis_t-1,0'!$F$19:$F$26</c:f>
              <c:numCache>
                <c:formatCode>0.00</c:formatCode>
                <c:ptCount val="8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  <c:pt idx="7">
                  <c:v>8.0079999999999991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76-4B61-AD69-F959CB8C6AC5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'w-max_analysis_t-1,0'!$E$19:$E$26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'w-max_analysis_t-1,0'!$G$19:$G$26</c:f>
              <c:numCache>
                <c:formatCode>0.00</c:formatCode>
                <c:ptCount val="8"/>
                <c:pt idx="0">
                  <c:v>2.5999999999999999E-2</c:v>
                </c:pt>
                <c:pt idx="1">
                  <c:v>0.14599999999999999</c:v>
                </c:pt>
                <c:pt idx="2">
                  <c:v>0.374</c:v>
                </c:pt>
                <c:pt idx="3">
                  <c:v>0.70199999999999996</c:v>
                </c:pt>
                <c:pt idx="4">
                  <c:v>1.4810000000000001</c:v>
                </c:pt>
                <c:pt idx="5">
                  <c:v>3.274</c:v>
                </c:pt>
                <c:pt idx="6">
                  <c:v>5.8520000000000003</c:v>
                </c:pt>
                <c:pt idx="7">
                  <c:v>8.6329999999999991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76-4B61-AD69-F959CB8C6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'w-max_analysis_t-1,0'!$E$30:$E$37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'w-max_analysis_t-1,0'!$F$30:$F$37</c:f>
              <c:numCache>
                <c:formatCode>0.00</c:formatCode>
                <c:ptCount val="8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  <c:pt idx="7">
                  <c:v>8.0399999999999991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B3-4E29-B156-E95E73156033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'w-max_analysis_t-1,0'!$E$30:$E$37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'w-max_analysis_t-1,0'!$G$30:$G$37</c:f>
              <c:numCache>
                <c:formatCode>0.00</c:formatCode>
                <c:ptCount val="8"/>
                <c:pt idx="0">
                  <c:v>3.9E-2</c:v>
                </c:pt>
                <c:pt idx="1">
                  <c:v>0.21299999999999999</c:v>
                </c:pt>
                <c:pt idx="2">
                  <c:v>0.48699999999999999</c:v>
                </c:pt>
                <c:pt idx="3">
                  <c:v>0.88300000000000001</c:v>
                </c:pt>
                <c:pt idx="4">
                  <c:v>1.7509999999999999</c:v>
                </c:pt>
                <c:pt idx="5">
                  <c:v>3.6459999999999999</c:v>
                </c:pt>
                <c:pt idx="6">
                  <c:v>6.4269999999999996</c:v>
                </c:pt>
                <c:pt idx="7">
                  <c:v>9.5419999999999998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B3-4E29-B156-E95E73156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'w-max_analysis_t-1,0'!$E$41:$E$48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'w-max_analysis_t-1,0'!$F$41:$F$48</c:f>
              <c:numCache>
                <c:formatCode>0.00</c:formatCode>
                <c:ptCount val="8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  <c:pt idx="7">
                  <c:v>8.0388000000000002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BF-43F4-8BB7-12CF403C040A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'w-max_analysis_t-1,0'!$E$41:$E$48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'w-max_analysis_t-1,0'!$G$41:$G$48</c:f>
              <c:numCache>
                <c:formatCode>0.00</c:formatCode>
                <c:ptCount val="8"/>
                <c:pt idx="0">
                  <c:v>3.4000000000000002E-2</c:v>
                </c:pt>
                <c:pt idx="1">
                  <c:v>0.17899999999999999</c:v>
                </c:pt>
                <c:pt idx="2">
                  <c:v>0.42099999999999999</c:v>
                </c:pt>
                <c:pt idx="3">
                  <c:v>0.78900000000000003</c:v>
                </c:pt>
                <c:pt idx="4">
                  <c:v>1.583</c:v>
                </c:pt>
                <c:pt idx="5">
                  <c:v>3.48</c:v>
                </c:pt>
                <c:pt idx="6">
                  <c:v>6.0979999999999999</c:v>
                </c:pt>
                <c:pt idx="7">
                  <c:v>9.1129999999999995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BF-43F4-8BB7-12CF403C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'w-max_analysis_t-1,0'!$E$53:$E$60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'w-max_analysis_t-1,0'!$F$53:$F$60</c:f>
              <c:numCache>
                <c:formatCode>0.00</c:formatCode>
                <c:ptCount val="8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  <c:pt idx="7">
                  <c:v>8.0079999999999991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D6-4AF0-8E8C-F0963BC7B849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'w-max_analysis_t-1,0'!$E$53:$E$60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'w-max_analysis_t-1,0'!$G$53:$G$60</c:f>
              <c:numCache>
                <c:formatCode>0.00</c:formatCode>
                <c:ptCount val="8"/>
                <c:pt idx="0">
                  <c:v>2.1000000000000001E-2</c:v>
                </c:pt>
                <c:pt idx="1">
                  <c:v>0.125</c:v>
                </c:pt>
                <c:pt idx="2">
                  <c:v>0.33400000000000002</c:v>
                </c:pt>
                <c:pt idx="3">
                  <c:v>0.64200000000000002</c:v>
                </c:pt>
                <c:pt idx="4">
                  <c:v>1.389</c:v>
                </c:pt>
                <c:pt idx="5">
                  <c:v>3.1280000000000001</c:v>
                </c:pt>
                <c:pt idx="6">
                  <c:v>5.65</c:v>
                </c:pt>
                <c:pt idx="7">
                  <c:v>8.3849999999999998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D6-4AF0-8E8C-F0963BC7B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'w-max_analysis_t-1,0'!$E$64:$E$71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'w-max_analysis_t-1,0'!$F$64:$F$71</c:f>
              <c:numCache>
                <c:formatCode>0.00</c:formatCode>
                <c:ptCount val="8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  <c:pt idx="7">
                  <c:v>8.0399999999999991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02-44E9-B1D1-131EED992D7D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'w-max_analysis_t-1,0'!$E$64:$E$71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'w-max_analysis_t-1,0'!$G$64:$G$71</c:f>
              <c:numCache>
                <c:formatCode>0.00</c:formatCode>
                <c:ptCount val="8"/>
                <c:pt idx="0">
                  <c:v>0.03</c:v>
                </c:pt>
                <c:pt idx="1">
                  <c:v>0.17599999999999999</c:v>
                </c:pt>
                <c:pt idx="2">
                  <c:v>0.41899999999999998</c:v>
                </c:pt>
                <c:pt idx="3">
                  <c:v>0.77900000000000003</c:v>
                </c:pt>
                <c:pt idx="4">
                  <c:v>1.59</c:v>
                </c:pt>
                <c:pt idx="5">
                  <c:v>3.395</c:v>
                </c:pt>
                <c:pt idx="6">
                  <c:v>6.0780000000000003</c:v>
                </c:pt>
                <c:pt idx="7">
                  <c:v>9.1059999999999999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02-44E9-B1D1-131EED992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'w-max_analysis_t-1,0'!$E$75:$E$82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'w-max_analysis_t-1,0'!$F$75:$F$82</c:f>
              <c:numCache>
                <c:formatCode>0.00</c:formatCode>
                <c:ptCount val="8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  <c:pt idx="7">
                  <c:v>8.0388000000000002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BC-4140-A4F7-023EAD0FD2CB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'w-max_analysis_t-1,0'!$E$75:$E$82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'w-max_analysis_t-1,0'!$G$75:$G$82</c:f>
              <c:numCache>
                <c:formatCode>0.00</c:formatCode>
                <c:ptCount val="8"/>
                <c:pt idx="0">
                  <c:v>2.7E-2</c:v>
                </c:pt>
                <c:pt idx="1">
                  <c:v>0.151</c:v>
                </c:pt>
                <c:pt idx="2">
                  <c:v>0.36799999999999999</c:v>
                </c:pt>
                <c:pt idx="3">
                  <c:v>0.70899999999999996</c:v>
                </c:pt>
                <c:pt idx="4">
                  <c:v>1.46</c:v>
                </c:pt>
                <c:pt idx="5">
                  <c:v>3.2850000000000001</c:v>
                </c:pt>
                <c:pt idx="6">
                  <c:v>5.83</c:v>
                </c:pt>
                <c:pt idx="7">
                  <c:v>8.7780000000000005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BC-4140-A4F7-023EAD0FD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'w-max_analysis_t-1,0'!$E$87:$E$94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'w-max_analysis_t-1,0'!$F$87:$F$94</c:f>
              <c:numCache>
                <c:formatCode>0.00</c:formatCode>
                <c:ptCount val="8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  <c:pt idx="7">
                  <c:v>8.0079999999999991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B5-4EE3-B3E4-783EB7898232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'w-max_analysis_t-1,0'!$E$87:$E$94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'w-max_analysis_t-1,0'!$G$87:$G$94</c:f>
              <c:numCache>
                <c:formatCode>0.00</c:formatCode>
                <c:ptCount val="8"/>
                <c:pt idx="0">
                  <c:v>1.7000000000000001E-2</c:v>
                </c:pt>
                <c:pt idx="1">
                  <c:v>0.111</c:v>
                </c:pt>
                <c:pt idx="2">
                  <c:v>0.308</c:v>
                </c:pt>
                <c:pt idx="3">
                  <c:v>0.60399999999999998</c:v>
                </c:pt>
                <c:pt idx="4">
                  <c:v>1.3280000000000001</c:v>
                </c:pt>
                <c:pt idx="5">
                  <c:v>3.0329999999999999</c:v>
                </c:pt>
                <c:pt idx="6">
                  <c:v>5.52</c:v>
                </c:pt>
                <c:pt idx="7">
                  <c:v>8.2240000000000002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B5-4EE3-B3E4-783EB7898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'w-max_analysis_t-1,0'!$E$98:$E$105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'w-max_analysis_t-1,0'!$F$98:$F$105</c:f>
              <c:numCache>
                <c:formatCode>0.00</c:formatCode>
                <c:ptCount val="8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  <c:pt idx="7">
                  <c:v>8.0399999999999991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2-464C-A4F0-B0CFB3B8D892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'w-max_analysis_t-1,0'!$E$98:$E$105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'w-max_analysis_t-1,0'!$G$98:$G$105</c:f>
              <c:numCache>
                <c:formatCode>0.00</c:formatCode>
                <c:ptCount val="8"/>
                <c:pt idx="0">
                  <c:v>2.5000000000000001E-2</c:v>
                </c:pt>
                <c:pt idx="1">
                  <c:v>0.152</c:v>
                </c:pt>
                <c:pt idx="2">
                  <c:v>0.374</c:v>
                </c:pt>
                <c:pt idx="3">
                  <c:v>0.71199999999999997</c:v>
                </c:pt>
                <c:pt idx="4">
                  <c:v>1.4850000000000001</c:v>
                </c:pt>
                <c:pt idx="5">
                  <c:v>3.2320000000000002</c:v>
                </c:pt>
                <c:pt idx="6">
                  <c:v>5.851</c:v>
                </c:pt>
                <c:pt idx="7">
                  <c:v>8.8219999999999992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2-464C-A4F0-B0CFB3B8D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d_t,3</a:t>
            </a:r>
          </a:p>
        </c:rich>
      </c:tx>
      <c:layout>
        <c:manualLayout>
          <c:xMode val="edge"/>
          <c:yMode val="edge"/>
          <c:x val="0.60145643452189079"/>
          <c:y val="0.76750815988926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'w-max_analysis_t-1,0'!$E$109:$E$116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'w-max_analysis_t-1,0'!$F$109:$F$116</c:f>
              <c:numCache>
                <c:formatCode>0.00</c:formatCode>
                <c:ptCount val="8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  <c:pt idx="7">
                  <c:v>8.0388000000000002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D3-4C08-BE2F-9D1673AF2B9A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'w-max_analysis_t-1,0'!$E$109:$E$116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'w-max_analysis_t-1,0'!$G$109:$G$116</c:f>
              <c:numCache>
                <c:formatCode>0.00</c:formatCode>
                <c:ptCount val="8"/>
                <c:pt idx="0">
                  <c:v>2.1999999999999999E-2</c:v>
                </c:pt>
                <c:pt idx="1">
                  <c:v>0.13200000000000001</c:v>
                </c:pt>
                <c:pt idx="2">
                  <c:v>0.33400000000000002</c:v>
                </c:pt>
                <c:pt idx="3">
                  <c:v>0.65700000000000003</c:v>
                </c:pt>
                <c:pt idx="4">
                  <c:v>1.38</c:v>
                </c:pt>
                <c:pt idx="5">
                  <c:v>3.1579999999999999</c:v>
                </c:pt>
                <c:pt idx="6">
                  <c:v>5.6559999999999997</c:v>
                </c:pt>
                <c:pt idx="7">
                  <c:v>8.5609999999999999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D3-4C08-BE2F-9D1673AF2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63661936267543"/>
          <c:y val="2.6769241857839098E-2"/>
          <c:w val="0.2589825925925926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'w-max_analysis_t-1,0'!$E$121:$E$128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'w-max_analysis_t-1,0'!$F$121:$F$128</c:f>
              <c:numCache>
                <c:formatCode>0.00</c:formatCode>
                <c:ptCount val="8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  <c:pt idx="7">
                  <c:v>8.0079999999999991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E4-4AFF-A3AE-F2F038D4C381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'w-max_analysis_t-1,0'!$E$121:$E$128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'w-max_analysis_t-1,0'!$G$121:$G$128</c:f>
              <c:numCache>
                <c:formatCode>0.00</c:formatCode>
                <c:ptCount val="8"/>
                <c:pt idx="0">
                  <c:v>1.2999999999999999E-2</c:v>
                </c:pt>
                <c:pt idx="1">
                  <c:v>9.5000000000000001E-2</c:v>
                </c:pt>
                <c:pt idx="2">
                  <c:v>0.27700000000000002</c:v>
                </c:pt>
                <c:pt idx="3">
                  <c:v>0.55800000000000005</c:v>
                </c:pt>
                <c:pt idx="4">
                  <c:v>1.2569999999999999</c:v>
                </c:pt>
                <c:pt idx="5">
                  <c:v>2.9220000000000002</c:v>
                </c:pt>
                <c:pt idx="6">
                  <c:v>5.3659999999999997</c:v>
                </c:pt>
                <c:pt idx="7">
                  <c:v>8.0340000000000007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E4-4AFF-A3AE-F2F038D4C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</a:t>
            </a:r>
          </a:p>
        </c:rich>
      </c:tx>
      <c:layout>
        <c:manualLayout>
          <c:xMode val="edge"/>
          <c:yMode val="edge"/>
          <c:x val="0.7456495010415547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96372471115843"/>
          <c:y val="2.472469135802469E-2"/>
          <c:w val="0.71211852050602009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('Buckling__t-1,0'!$G$27,'Buckling__t-1,0'!$G$32,'Buckling__t-1,0'!$G$37)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('Buckling__t-1,0'!$G$28,'Buckling__t-1,0'!$G$33,'Buckling__t-1,0'!$G$38)</c:f>
              <c:numCache>
                <c:formatCode>0.00</c:formatCode>
                <c:ptCount val="3"/>
                <c:pt idx="0">
                  <c:v>-0.86</c:v>
                </c:pt>
                <c:pt idx="1">
                  <c:v>-1.37</c:v>
                </c:pt>
                <c:pt idx="2">
                  <c:v>-2.08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5-4E45-91E6-612476BCD28E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('Buckling__t-1,0'!$S$27,'Buckling__t-1,0'!$S$32,'Buckling__t-1,0'!$S$37)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('Buckling__t-1,0'!$S$28,'Buckling__t-1,0'!$S$33,'Buckling__t-1,0'!$S$38)</c:f>
              <c:numCache>
                <c:formatCode>0.00</c:formatCode>
                <c:ptCount val="3"/>
                <c:pt idx="0">
                  <c:v>-0.33</c:v>
                </c:pt>
                <c:pt idx="1">
                  <c:v>-0.51</c:v>
                </c:pt>
                <c:pt idx="2">
                  <c:v>-0.81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45-4E45-91E6-612476BCD28E}"/>
            </c:ext>
          </c:extLst>
        </c:ser>
        <c:ser>
          <c:idx val="4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('Buckling__t-1,0'!$G$27,'Buckling__t-1,0'!$G$32,'Buckling__t-1,0'!$G$37)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('Buckling__t-1,0'!$G$30,'Buckling__t-1,0'!$G$35,'Buckling__t-1,0'!$G$40)</c:f>
              <c:numCache>
                <c:formatCode>0.00</c:formatCode>
                <c:ptCount val="3"/>
                <c:pt idx="0">
                  <c:v>0.86</c:v>
                </c:pt>
                <c:pt idx="1">
                  <c:v>1.39</c:v>
                </c:pt>
                <c:pt idx="2">
                  <c:v>2.4500000000000002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45-4E45-91E6-612476BCD28E}"/>
            </c:ext>
          </c:extLst>
        </c:ser>
        <c:ser>
          <c:idx val="7"/>
          <c:order val="7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('Buckling__t-1,0'!$S$27,'Buckling__t-1,0'!$S$32,'Buckling__t-1,0'!$S$37)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('Buckling__t-1,0'!$S$30,'Buckling__t-1,0'!$S$35,'Buckling__t-1,0'!$S$40)</c:f>
              <c:numCache>
                <c:formatCode>0.00</c:formatCode>
                <c:ptCount val="3"/>
                <c:pt idx="0">
                  <c:v>0.31</c:v>
                </c:pt>
                <c:pt idx="1">
                  <c:v>0.5</c:v>
                </c:pt>
                <c:pt idx="2">
                  <c:v>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45-4E45-91E6-612476BCD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3"/>
                <c:tx>
                  <c:v>d_t,2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Pt>
                  <c:idx val="0"/>
                  <c:marker>
                    <c:symbol val="circle"/>
                    <c:size val="5"/>
                    <c:spPr>
                      <a:solidFill>
                        <a:schemeClr val="accent3"/>
                      </a:solidFill>
                      <a:ln w="9525">
                        <a:solidFill>
                          <a:schemeClr val="accent3"/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accent3"/>
                      </a:solidFill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6B45-4E45-91E6-612476BCD28E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('Buckling__t-1,0'!$J$27,'Buckling__t-1,0'!$J$32,'Buckling__t-1,0'!$J$37)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('Buckling__t-1,0'!$J$28,'Buckling__t-1,0'!$J$33,'Buckling__t-1,0'!$J$38)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-0.4</c:v>
                      </c:pt>
                      <c:pt idx="1">
                        <c:v>-0.63</c:v>
                      </c:pt>
                      <c:pt idx="2">
                        <c:v>-0.94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6B45-4E45-91E6-612476BCD28E}"/>
                  </c:ext>
                </c:extLst>
              </c15:ser>
            </c15:filteredScatterSeries>
            <c15:filteredScatterSeries>
              <c15:ser>
                <c:idx val="5"/>
                <c:order val="4"/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('Buckling__t-1,0'!$J$27,'Buckling__t-1,0'!$J$32,'Buckling__t-1,0'!$J$37)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('Buckling__t-1,0'!$J$30,'Buckling__t-1,0'!$J$35,'Buckling__t-1,0'!$J$40)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0.4</c:v>
                      </c:pt>
                      <c:pt idx="1">
                        <c:v>0.75</c:v>
                      </c:pt>
                      <c:pt idx="2">
                        <c:v>1.1299999999999999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B45-4E45-91E6-612476BCD28E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v>d_t,3</c:v>
                </c:tx>
                <c:spPr>
                  <a:ln w="95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('Buckling__t-1,0'!$N$27,'Buckling__t-1,0'!$N$32,'Buckling__t-1,0'!$N$37)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('Buckling__t-1,0'!$N$28,'Buckling__t-1,0'!$N$33,'Buckling__t-1,0'!$N$38)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-0.31</c:v>
                      </c:pt>
                      <c:pt idx="1">
                        <c:v>-0.49</c:v>
                      </c:pt>
                      <c:pt idx="2">
                        <c:v>-0.74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B45-4E45-91E6-612476BCD28E}"/>
                  </c:ext>
                </c:extLst>
              </c15:ser>
            </c15:filteredScatterSeries>
            <c15:filteredScatterSeries>
              <c15:ser>
                <c:idx val="6"/>
                <c:order val="6"/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('Buckling__t-1,0'!$N$27,'Buckling__t-1,0'!$N$32,'Buckling__t-1,0'!$N$37)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('Buckling__t-1,0'!$N$30,'Buckling__t-1,0'!$N$35,'Buckling__t-1,0'!$N$40)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0.31</c:v>
                      </c:pt>
                      <c:pt idx="1">
                        <c:v>0.57999999999999996</c:v>
                      </c:pt>
                      <c:pt idx="2">
                        <c:v>0.87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45-4E45-91E6-612476BCD28E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000"/>
          <c:min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3"/>
        <c:crossBetween val="midCat"/>
        <c:majorUnit val="400"/>
        <c:minorUnit val="100"/>
      </c:valAx>
      <c:valAx>
        <c:axId val="464055376"/>
        <c:scaling>
          <c:orientation val="minMax"/>
          <c:max val="2.5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n,min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e </a:t>
                </a: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n,max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11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038194444444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5"/>
        <c:minorUnit val="0.2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1531357942424809"/>
          <c:y val="3.3193672839506166E-2"/>
          <c:w val="0.22949655984773989"/>
          <c:h val="0.1212685185185185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'w-max_analysis_t-1,0'!$E$132:$E$139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'w-max_analysis_t-1,0'!$F$132:$F$139</c:f>
              <c:numCache>
                <c:formatCode>0.00</c:formatCode>
                <c:ptCount val="8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  <c:pt idx="7">
                  <c:v>8.0399999999999991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F-440C-877E-873A9B621778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'w-max_analysis_t-1,0'!$E$132:$E$139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'w-max_analysis_t-1,0'!$G$132:$G$139</c:f>
              <c:numCache>
                <c:formatCode>0.00</c:formatCode>
                <c:ptCount val="8"/>
                <c:pt idx="0">
                  <c:v>1.7999999999999999E-2</c:v>
                </c:pt>
                <c:pt idx="1">
                  <c:v>0.124</c:v>
                </c:pt>
                <c:pt idx="2">
                  <c:v>0.32100000000000001</c:v>
                </c:pt>
                <c:pt idx="3">
                  <c:v>0.63200000000000001</c:v>
                </c:pt>
                <c:pt idx="4">
                  <c:v>1.3620000000000001</c:v>
                </c:pt>
                <c:pt idx="5">
                  <c:v>3.0390000000000001</c:v>
                </c:pt>
                <c:pt idx="6">
                  <c:v>5.5819999999999999</c:v>
                </c:pt>
                <c:pt idx="7">
                  <c:v>8.4870000000000001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9F-440C-877E-873A9B621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'w-max_analysis_t-1,0'!$E$143:$E$150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'w-max_analysis_t-1,0'!$F$143:$F$150</c:f>
              <c:numCache>
                <c:formatCode>0.00</c:formatCode>
                <c:ptCount val="8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  <c:pt idx="7">
                  <c:v>8.0388000000000002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E5-4CAF-8FAB-26BBBC44AB01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'w-max_analysis_t-1,0'!$E$143:$E$150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'w-max_analysis_t-1,0'!$G$143:$G$150</c:f>
              <c:numCache>
                <c:formatCode>0.00</c:formatCode>
                <c:ptCount val="8"/>
                <c:pt idx="0">
                  <c:v>1.7000000000000001E-2</c:v>
                </c:pt>
                <c:pt idx="1">
                  <c:v>0.11</c:v>
                </c:pt>
                <c:pt idx="2">
                  <c:v>0.29299999999999998</c:v>
                </c:pt>
                <c:pt idx="3">
                  <c:v>0.59599999999999997</c:v>
                </c:pt>
                <c:pt idx="4">
                  <c:v>1.286</c:v>
                </c:pt>
                <c:pt idx="5">
                  <c:v>3.008</c:v>
                </c:pt>
                <c:pt idx="6">
                  <c:v>5.45</c:v>
                </c:pt>
                <c:pt idx="7">
                  <c:v>8.3040000000000003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E5-4CAF-8FAB-26BBBC44A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119104938271605"/>
          <c:y val="2.8704444444444446E-2"/>
          <c:w val="0.74541728395061724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d_t-1</c:v>
          </c:tx>
          <c:spPr>
            <a:ln w="9525" cap="rnd">
              <a:solidFill>
                <a:srgbClr val="44546A">
                  <a:lumMod val="75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44546A">
                  <a:lumMod val="75000"/>
                </a:srgbClr>
              </a:solidFill>
              <a:ln w="9525">
                <a:noFill/>
              </a:ln>
              <a:effectLst/>
            </c:spPr>
          </c:marker>
          <c:xVal>
            <c:numRef>
              <c:f>'w-max_analysis_t-1,0'!$E$201:$E$203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'w-max_analysis_t-1,0'!$F$201:$F$203</c:f>
              <c:numCache>
                <c:formatCode>0</c:formatCode>
                <c:ptCount val="3"/>
                <c:pt idx="0">
                  <c:v>1871.353846153846</c:v>
                </c:pt>
                <c:pt idx="1">
                  <c:v>1906.8038810900084</c:v>
                </c:pt>
                <c:pt idx="2">
                  <c:v>1939.7828054298643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C2-4B4B-AA22-EBCB231632F6}"/>
            </c:ext>
          </c:extLst>
        </c:ser>
        <c:ser>
          <c:idx val="0"/>
          <c:order val="1"/>
          <c:tx>
            <c:v>d_t-2</c:v>
          </c:tx>
          <c:spPr>
            <a:ln w="9525" cap="rnd">
              <a:solidFill>
                <a:srgbClr val="B5FF2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B5FF2F"/>
              </a:solidFill>
              <a:ln w="9525">
                <a:noFill/>
              </a:ln>
              <a:effectLst/>
            </c:spPr>
          </c:marker>
          <c:xVal>
            <c:numRef>
              <c:f>'w-max_analysis_t-1,0'!$E$201:$E$203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'w-max_analysis_t-1,0'!$G$201:$G$203</c:f>
              <c:numCache>
                <c:formatCode>0</c:formatCode>
                <c:ptCount val="3"/>
                <c:pt idx="0">
                  <c:v>1907.6873857404025</c:v>
                </c:pt>
                <c:pt idx="1">
                  <c:v>1936.6476713366153</c:v>
                </c:pt>
                <c:pt idx="2">
                  <c:v>1963.5820895522386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C2-4B4B-AA22-EBCB231632F6}"/>
            </c:ext>
          </c:extLst>
        </c:ser>
        <c:ser>
          <c:idx val="2"/>
          <c:order val="2"/>
          <c:tx>
            <c:v>d_t-3</c:v>
          </c:tx>
          <c:spPr>
            <a:ln w="9525" cap="rnd">
              <a:solidFill>
                <a:srgbClr val="FE8D48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E8D48"/>
              </a:solidFill>
              <a:ln w="12700">
                <a:noFill/>
              </a:ln>
              <a:effectLst/>
            </c:spPr>
          </c:marker>
          <c:xVal>
            <c:numRef>
              <c:f>'w-max_analysis_t-1,0'!$E$201:$E$203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'w-max_analysis_t-1,0'!$H$201:$H$203</c:f>
              <c:numCache>
                <c:formatCode>0</c:formatCode>
                <c:ptCount val="3"/>
                <c:pt idx="0">
                  <c:v>1932.9375879868605</c:v>
                </c:pt>
                <c:pt idx="1">
                  <c:v>1957.0208232679488</c:v>
                </c:pt>
                <c:pt idx="2">
                  <c:v>1979.6317991631797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C2-4B4B-AA22-EBCB231632F6}"/>
            </c:ext>
          </c:extLst>
        </c:ser>
        <c:ser>
          <c:idx val="3"/>
          <c:order val="3"/>
          <c:tx>
            <c:v>d_t-4</c:v>
          </c:tx>
          <c:spPr>
            <a:ln w="952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'w-max_analysis_t-1,0'!$E$201:$E$203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'w-max_analysis_t-1,0'!$I$201:$I$203</c:f>
              <c:numCache>
                <c:formatCode>0</c:formatCode>
                <c:ptCount val="3"/>
                <c:pt idx="0">
                  <c:v>1964.5423728813555</c:v>
                </c:pt>
                <c:pt idx="1">
                  <c:v>1982.2709530414106</c:v>
                </c:pt>
                <c:pt idx="2">
                  <c:v>1999.2558635394457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C2-4B4B-AA22-EBCB23163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48"/>
          <c:min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ω</a:t>
                </a:r>
                <a:r>
                  <a:rPr lang="it-IT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(°)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"/>
        <c:minorUnit val="0.5"/>
      </c:valAx>
      <c:valAx>
        <c:axId val="464055376"/>
        <c:scaling>
          <c:orientation val="minMax"/>
          <c:max val="2050"/>
          <c:min val="1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max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5"/>
        <c:minorUnit val="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21164771241830066"/>
          <c:y val="3.147296296296296E-2"/>
          <c:w val="0.20682412886259041"/>
          <c:h val="0.19990962962962963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119104938271605"/>
          <c:y val="2.8704444444444446E-2"/>
          <c:w val="0.74541728395061724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d_t-1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333F50"/>
              </a:solidFill>
              <a:ln w="9525">
                <a:noFill/>
              </a:ln>
              <a:effectLst/>
            </c:spPr>
          </c:marker>
          <c:xVal>
            <c:numRef>
              <c:f>'w-max_analysis_t-1,0'!$E$208:$E$210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'w-max_analysis_t-1,0'!$F$208:$F$210</c:f>
              <c:numCache>
                <c:formatCode>0</c:formatCode>
                <c:ptCount val="3"/>
                <c:pt idx="0">
                  <c:v>1860</c:v>
                </c:pt>
                <c:pt idx="1">
                  <c:v>1905.3000000000002</c:v>
                </c:pt>
                <c:pt idx="2">
                  <c:v>1936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48-47AC-923C-2BCCCD726D03}"/>
            </c:ext>
          </c:extLst>
        </c:ser>
        <c:ser>
          <c:idx val="0"/>
          <c:order val="1"/>
          <c:tx>
            <c:v>d_t-2</c:v>
          </c:tx>
          <c:spPr>
            <a:ln w="9525" cap="rnd">
              <a:solidFill>
                <a:srgbClr val="B5FF2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B5FF2F"/>
              </a:solidFill>
              <a:ln w="9525">
                <a:noFill/>
              </a:ln>
              <a:effectLst/>
            </c:spPr>
          </c:marker>
          <c:xVal>
            <c:numRef>
              <c:f>'w-max_analysis_t-1,0'!$E$208:$E$210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'w-max_analysis_t-1,0'!$G$208:$G$210</c:f>
              <c:numCache>
                <c:formatCode>0</c:formatCode>
                <c:ptCount val="3"/>
                <c:pt idx="0">
                  <c:v>1890</c:v>
                </c:pt>
                <c:pt idx="1">
                  <c:v>1931.4</c:v>
                </c:pt>
                <c:pt idx="2">
                  <c:v>1958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48-47AC-923C-2BCCCD726D03}"/>
            </c:ext>
          </c:extLst>
        </c:ser>
        <c:ser>
          <c:idx val="2"/>
          <c:order val="2"/>
          <c:tx>
            <c:v>d_t-3</c:v>
          </c:tx>
          <c:spPr>
            <a:ln w="9525" cap="rnd">
              <a:solidFill>
                <a:srgbClr val="FE8D48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E8D48"/>
              </a:solidFill>
              <a:ln w="12700">
                <a:noFill/>
              </a:ln>
              <a:effectLst/>
            </c:spPr>
          </c:marker>
          <c:xVal>
            <c:numRef>
              <c:f>'w-max_analysis_t-1,0'!$E$208:$E$210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'w-max_analysis_t-1,0'!$H$208:$H$210</c:f>
              <c:numCache>
                <c:formatCode>0</c:formatCode>
                <c:ptCount val="3"/>
                <c:pt idx="0">
                  <c:v>1920</c:v>
                </c:pt>
                <c:pt idx="1">
                  <c:v>1957.5</c:v>
                </c:pt>
                <c:pt idx="2">
                  <c:v>1980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48-47AC-923C-2BCCCD726D03}"/>
            </c:ext>
          </c:extLst>
        </c:ser>
        <c:ser>
          <c:idx val="3"/>
          <c:order val="3"/>
          <c:tx>
            <c:v>d_t-4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'w-max_analysis_t-1,0'!$E$208:$E$210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'w-max_analysis_t-1,0'!$I$208:$I$210</c:f>
              <c:numCache>
                <c:formatCode>0</c:formatCode>
                <c:ptCount val="3"/>
                <c:pt idx="0">
                  <c:v>1950</c:v>
                </c:pt>
                <c:pt idx="1">
                  <c:v>1983.6000000000001</c:v>
                </c:pt>
                <c:pt idx="2">
                  <c:v>1980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248-47AC-923C-2BCCCD726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48"/>
          <c:min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ω</a:t>
                </a:r>
                <a:r>
                  <a:rPr lang="it-IT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(°)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"/>
        <c:minorUnit val="0.5"/>
      </c:valAx>
      <c:valAx>
        <c:axId val="464055376"/>
        <c:scaling>
          <c:orientation val="minMax"/>
          <c:max val="2050"/>
          <c:min val="1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max,eff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5"/>
        <c:minorUnit val="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21164771241830066"/>
          <c:y val="3.147296296296296E-2"/>
          <c:w val="0.20682412886259041"/>
          <c:h val="0.19990962962962963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'Par.analysis_t-1,0'!$E$14:$E$21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'Par.analysis_t-1,0'!$G$14:$G$21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66-43A4-9E9A-574F8B422CC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'Par.analysis_t-1,0'!$E$14:$E$21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'Par.analysis_t-1,0'!$I$14:$I$21</c:f>
              <c:numCache>
                <c:formatCode>0.00</c:formatCode>
                <c:ptCount val="8"/>
                <c:pt idx="0">
                  <c:v>7.0045861136069325</c:v>
                </c:pt>
                <c:pt idx="1">
                  <c:v>2.8432763504167324</c:v>
                </c:pt>
                <c:pt idx="2">
                  <c:v>2.0653134793994004</c:v>
                </c:pt>
                <c:pt idx="3">
                  <c:v>1.7717740256153014</c:v>
                </c:pt>
                <c:pt idx="4">
                  <c:v>1.5585625051460139</c:v>
                </c:pt>
                <c:pt idx="5">
                  <c:v>1.4112624575968675</c:v>
                </c:pt>
                <c:pt idx="6">
                  <c:v>1.3395847088260673</c:v>
                </c:pt>
                <c:pt idx="7">
                  <c:v>1.3029190837159579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66-43A4-9E9A-574F8B422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'Par.analysis_t-1,0'!$E$14:$E$18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566-43A4-9E9A-574F8B422CCB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'Par.analysis_t-1,0'!$G$34:$G$41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4-4F44-B532-5FCC5AC8903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'Par.analysis_t-1,0'!$I$34:$I$41</c:f>
              <c:numCache>
                <c:formatCode>0.00</c:formatCode>
                <c:ptCount val="8"/>
                <c:pt idx="0">
                  <c:v>8.561957310361084</c:v>
                </c:pt>
                <c:pt idx="1">
                  <c:v>3.3401103268293828</c:v>
                </c:pt>
                <c:pt idx="2">
                  <c:v>2.3804246878681616</c:v>
                </c:pt>
                <c:pt idx="3">
                  <c:v>1.9758853536687608</c:v>
                </c:pt>
                <c:pt idx="4">
                  <c:v>1.6939812866796109</c:v>
                </c:pt>
                <c:pt idx="5">
                  <c:v>1.4996514185211391</c:v>
                </c:pt>
                <c:pt idx="6">
                  <c:v>1.404786038554767</c:v>
                </c:pt>
                <c:pt idx="7">
                  <c:v>1.3536849322867888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A4-4F44-B532-5FCC5AC89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'Par.analysis_t-1,0'!$E$34:$E$37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1A4-4F44-B532-5FCC5AC89038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4617777777777783"/>
          <c:y val="0.77240817901234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'Par.analysis_t-1,0'!$E$24:$E$31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'Par.analysis_t-1,0'!$G$24:$G$31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E8-41AA-817A-BD632D8061C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'Par.analysis_t-1,0'!$E$24:$E$31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'Par.analysis_t-1,0'!$I$24:$I$31</c:f>
              <c:numCache>
                <c:formatCode>0.00</c:formatCode>
                <c:ptCount val="8"/>
                <c:pt idx="0">
                  <c:v>11.664071404968242</c:v>
                </c:pt>
                <c:pt idx="1">
                  <c:v>3.981485912272813</c:v>
                </c:pt>
                <c:pt idx="2">
                  <c:v>2.7406871728962616</c:v>
                </c:pt>
                <c:pt idx="3">
                  <c:v>2.2268476547648612</c:v>
                </c:pt>
                <c:pt idx="4">
                  <c:v>1.8532596996266724</c:v>
                </c:pt>
                <c:pt idx="5">
                  <c:v>1.6118384908113501</c:v>
                </c:pt>
                <c:pt idx="6">
                  <c:v>1.4831629257623233</c:v>
                </c:pt>
                <c:pt idx="7">
                  <c:v>1.4162038282711731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E8-41AA-817A-BD632D806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'Par.analysis_t-1,0'!$E$14:$E$18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6E8-41AA-817A-BD632D8061C1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58221074074074075"/>
          <c:y val="3.1668981481481479E-2"/>
          <c:w val="0.33659370370370373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'Par.analysis_t-1,0'!$G$45:$G$52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C9-4A2A-837C-FD01A2DB00D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'Par.analysis_t-1,0'!$I$45:$I$52</c:f>
              <c:numCache>
                <c:formatCode>0.00</c:formatCode>
                <c:ptCount val="8"/>
                <c:pt idx="0">
                  <c:v>5.6598752882341268</c:v>
                </c:pt>
                <c:pt idx="1">
                  <c:v>2.4353123223641702</c:v>
                </c:pt>
                <c:pt idx="2">
                  <c:v>1.8451823018995075</c:v>
                </c:pt>
                <c:pt idx="3">
                  <c:v>1.621006225761044</c:v>
                </c:pt>
                <c:pt idx="4">
                  <c:v>1.4623450102970985</c:v>
                </c:pt>
                <c:pt idx="5">
                  <c:v>1.3488830401216267</c:v>
                </c:pt>
                <c:pt idx="6">
                  <c:v>1.2938762708326863</c:v>
                </c:pt>
                <c:pt idx="7">
                  <c:v>1.2660102081751345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C9-4A2A-837C-FD01A2D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'Par.analysis_t-1,0'!$E$45:$E$49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FC9-4A2A-837C-FD01A2DB00D1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'Par.analysis_t-1,0'!$G$55:$G$62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7F-4FA1-BA1D-1F1F3306A89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'Par.analysis_t-1,0'!$I$55:$I$62</c:f>
              <c:numCache>
                <c:formatCode>0.00</c:formatCode>
                <c:ptCount val="8"/>
                <c:pt idx="0">
                  <c:v>8.9735046001900827</c:v>
                </c:pt>
                <c:pt idx="1">
                  <c:v>3.2902850200696969</c:v>
                </c:pt>
                <c:pt idx="2">
                  <c:v>2.3583040748202495</c:v>
                </c:pt>
                <c:pt idx="3">
                  <c:v>1.9648189279465988</c:v>
                </c:pt>
                <c:pt idx="4">
                  <c:v>1.6830713701904527</c:v>
                </c:pt>
                <c:pt idx="5">
                  <c:v>1.5010664190487628</c:v>
                </c:pt>
                <c:pt idx="6">
                  <c:v>1.4028024938260115</c:v>
                </c:pt>
                <c:pt idx="7">
                  <c:v>1.3516656284172461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7F-4FA1-BA1D-1F1F3306A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'Par.analysis_t-1,0'!$E$55:$E$58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300</c:v>
                      </c:pt>
                      <c:pt idx="1">
                        <c:v>600</c:v>
                      </c:pt>
                      <c:pt idx="2">
                        <c:v>810</c:v>
                      </c:pt>
                      <c:pt idx="3">
                        <c:v>990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87F-4FA1-BA1D-1F1F3306A89C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'Par.analysis_t-1,0'!$G$65:$G$72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8E-4278-9BCE-C9BF1B0F2B3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'Par.analysis_t-1,0'!$I$65:$I$72</c:f>
              <c:numCache>
                <c:formatCode>0.00</c:formatCode>
                <c:ptCount val="8"/>
                <c:pt idx="0">
                  <c:v>6.8006916008026517</c:v>
                </c:pt>
                <c:pt idx="1">
                  <c:v>2.8182525204022348</c:v>
                </c:pt>
                <c:pt idx="2">
                  <c:v>2.0812073174137331</c:v>
                </c:pt>
                <c:pt idx="3">
                  <c:v>1.7759312509765568</c:v>
                </c:pt>
                <c:pt idx="4">
                  <c:v>1.5627004056511058</c:v>
                </c:pt>
                <c:pt idx="5">
                  <c:v>1.4159294937101394</c:v>
                </c:pt>
                <c:pt idx="6">
                  <c:v>1.3433416886554677</c:v>
                </c:pt>
                <c:pt idx="7">
                  <c:v>1.3042083508387645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8E-4278-9BCE-C9BF1B0F2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'Par.analysis_t-1,0'!$E$65:$E$68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F8E-4278-9BCE-C9BF1B0F2B3C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</a:t>
            </a:r>
          </a:p>
        </c:rich>
      </c:tx>
      <c:layout>
        <c:manualLayout>
          <c:xMode val="edge"/>
          <c:yMode val="edge"/>
          <c:x val="0.7456495010415547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96372471115843"/>
          <c:y val="2.472469135802469E-2"/>
          <c:w val="0.71211852050602009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('Buckling__t-1,0'!$H$27,'Buckling__t-1,0'!$H$32,'Buckling__t-1,0'!$H$37)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('Buckling__t-1,0'!$H$28,'Buckling__t-1,0'!$H$33,'Buckling__t-1,0'!$H$38)</c:f>
              <c:numCache>
                <c:formatCode>0.00</c:formatCode>
                <c:ptCount val="3"/>
                <c:pt idx="0">
                  <c:v>-0.69</c:v>
                </c:pt>
                <c:pt idx="1">
                  <c:v>-1.1000000000000001</c:v>
                </c:pt>
                <c:pt idx="2">
                  <c:v>-1.67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36-41C0-B0F2-87FFAEF4D55D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('Buckling__t-1,0'!$T$27,'Buckling__t-1,0'!$T$32,'Buckling__t-1,0'!$T$37)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('Buckling__t-1,0'!$T$28,'Buckling__t-1,0'!$T$33,'Buckling__t-1,0'!$T$38)</c:f>
              <c:numCache>
                <c:formatCode>0.00</c:formatCode>
                <c:ptCount val="3"/>
                <c:pt idx="0">
                  <c:v>-0.26</c:v>
                </c:pt>
                <c:pt idx="1">
                  <c:v>-0.41</c:v>
                </c:pt>
                <c:pt idx="2">
                  <c:v>-0.65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36-41C0-B0F2-87FFAEF4D55D}"/>
            </c:ext>
          </c:extLst>
        </c:ser>
        <c:ser>
          <c:idx val="4"/>
          <c:order val="2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('Buckling__t-1,0'!$H$27,'Buckling__t-1,0'!$H$32,'Buckling__t-1,0'!$H$37)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('Buckling__t-1,0'!$H$30,'Buckling__t-1,0'!$H$35,'Buckling__t-1,0'!$H$40)</c:f>
              <c:numCache>
                <c:formatCode>0.00</c:formatCode>
                <c:ptCount val="3"/>
                <c:pt idx="0">
                  <c:v>0.7</c:v>
                </c:pt>
                <c:pt idx="1">
                  <c:v>1.1200000000000001</c:v>
                </c:pt>
                <c:pt idx="2">
                  <c:v>1.97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36-41C0-B0F2-87FFAEF4D55D}"/>
            </c:ext>
          </c:extLst>
        </c:ser>
        <c:ser>
          <c:idx val="7"/>
          <c:order val="7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('Buckling__t-1,0'!$T$27,'Buckling__t-1,0'!$T$32,'Buckling__t-1,0'!$T$37)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('Buckling__t-1,0'!$T$30,'Buckling__t-1,0'!$T$35,'Buckling__t-1,0'!$T$40)</c:f>
              <c:numCache>
                <c:formatCode>0.00</c:formatCode>
                <c:ptCount val="3"/>
                <c:pt idx="0">
                  <c:v>0.25</c:v>
                </c:pt>
                <c:pt idx="1">
                  <c:v>0.4</c:v>
                </c:pt>
                <c:pt idx="2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36-41C0-B0F2-87FFAEF4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3"/>
                <c:tx>
                  <c:v>d_t,2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Pt>
                  <c:idx val="0"/>
                  <c:marker>
                    <c:symbol val="circle"/>
                    <c:size val="5"/>
                    <c:spPr>
                      <a:solidFill>
                        <a:schemeClr val="accent3"/>
                      </a:solidFill>
                      <a:ln w="9525">
                        <a:solidFill>
                          <a:schemeClr val="accent3"/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accent3"/>
                      </a:solidFill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E336-41C0-B0F2-87FFAEF4D55D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('Buckling__t-1,0'!$J$27,'Buckling__t-1,0'!$J$32,'Buckling__t-1,0'!$J$37)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('Buckling__t-1,0'!$J$28,'Buckling__t-1,0'!$J$33,'Buckling__t-1,0'!$J$38)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-0.4</c:v>
                      </c:pt>
                      <c:pt idx="1">
                        <c:v>-0.63</c:v>
                      </c:pt>
                      <c:pt idx="2">
                        <c:v>-0.94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E336-41C0-B0F2-87FFAEF4D55D}"/>
                  </c:ext>
                </c:extLst>
              </c15:ser>
            </c15:filteredScatterSeries>
            <c15:filteredScatterSeries>
              <c15:ser>
                <c:idx val="5"/>
                <c:order val="4"/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('Buckling__t-1,0'!$J$27,'Buckling__t-1,0'!$J$32,'Buckling__t-1,0'!$J$37)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('Buckling__t-1,0'!$J$30,'Buckling__t-1,0'!$J$35,'Buckling__t-1,0'!$J$40)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0.4</c:v>
                      </c:pt>
                      <c:pt idx="1">
                        <c:v>0.75</c:v>
                      </c:pt>
                      <c:pt idx="2">
                        <c:v>1.1299999999999999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336-41C0-B0F2-87FFAEF4D55D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v>d_t,3</c:v>
                </c:tx>
                <c:spPr>
                  <a:ln w="95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3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('Buckling__t-1,0'!$N$27,'Buckling__t-1,0'!$N$32,'Buckling__t-1,0'!$N$37)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('Buckling__t-1,0'!$N$28,'Buckling__t-1,0'!$N$33,'Buckling__t-1,0'!$N$38)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-0.31</c:v>
                      </c:pt>
                      <c:pt idx="1">
                        <c:v>-0.49</c:v>
                      </c:pt>
                      <c:pt idx="2">
                        <c:v>-0.74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336-41C0-B0F2-87FFAEF4D55D}"/>
                  </c:ext>
                </c:extLst>
              </c15:ser>
            </c15:filteredScatterSeries>
            <c15:filteredScatterSeries>
              <c15:ser>
                <c:idx val="6"/>
                <c:order val="6"/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('Buckling__t-1,0'!$N$27,'Buckling__t-1,0'!$N$32,'Buckling__t-1,0'!$N$37)</c15:sqref>
                        </c15:formulaRef>
                      </c:ext>
                    </c:extLst>
                    <c:numCache>
                      <c:formatCode>0.0</c:formatCode>
                      <c:ptCount val="3"/>
                      <c:pt idx="0">
                        <c:v>814</c:v>
                      </c:pt>
                      <c:pt idx="1">
                        <c:v>1232</c:v>
                      </c:pt>
                      <c:pt idx="2">
                        <c:v>1804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('Buckling__t-1,0'!$N$30,'Buckling__t-1,0'!$N$35,'Buckling__t-1,0'!$N$40)</c15:sqref>
                        </c15:formulaRef>
                      </c:ext>
                    </c:extLst>
                    <c:numCache>
                      <c:formatCode>0.00</c:formatCode>
                      <c:ptCount val="3"/>
                      <c:pt idx="0">
                        <c:v>0.31</c:v>
                      </c:pt>
                      <c:pt idx="1">
                        <c:v>0.57999999999999996</c:v>
                      </c:pt>
                      <c:pt idx="2">
                        <c:v>0.87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336-41C0-B0F2-87FFAEF4D55D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000"/>
          <c:min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3"/>
        <c:crossBetween val="midCat"/>
        <c:majorUnit val="400"/>
        <c:minorUnit val="100"/>
      </c:valAx>
      <c:valAx>
        <c:axId val="464055376"/>
        <c:scaling>
          <c:orientation val="minMax"/>
          <c:max val="2.5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min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e </a:t>
                </a: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max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11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038194444444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5"/>
        <c:minorUnit val="0.2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1063284943676444"/>
          <c:y val="3.3193672839506166E-2"/>
          <c:w val="0.22949655984773989"/>
          <c:h val="0.1212685185185185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'Par.analysis_t-1,0'!$E$76:$E$83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'Par.analysis_t-1,0'!$G$76:$G$83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F6-4B19-B9C2-6A2A918E81E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'Par.analysis_t-1,0'!$E$76:$E$83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'Par.analysis_t-1,0'!$I$76:$I$83</c:f>
              <c:numCache>
                <c:formatCode>0.00</c:formatCode>
                <c:ptCount val="8"/>
                <c:pt idx="0">
                  <c:v>4.5839754760242934</c:v>
                </c:pt>
                <c:pt idx="1">
                  <c:v>2.1635823454754997</c:v>
                </c:pt>
                <c:pt idx="2">
                  <c:v>1.702351850215529</c:v>
                </c:pt>
                <c:pt idx="3">
                  <c:v>1.5257816601087328</c:v>
                </c:pt>
                <c:pt idx="4">
                  <c:v>1.3987866342280013</c:v>
                </c:pt>
                <c:pt idx="5">
                  <c:v>1.3085362464735699</c:v>
                </c:pt>
                <c:pt idx="6">
                  <c:v>1.264704823835326</c:v>
                </c:pt>
                <c:pt idx="7">
                  <c:v>1.2422901427433555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F6-4B19-B9C2-6A2A918E8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'Par.analysis_t-1,0'!$E$76:$E$80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DF6-4B19-B9C2-6A2A918E81E1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'Par.analysis_t-1,0'!$E$86:$E$93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'Par.analysis_t-1,0'!$G$86:$G$93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98-4ECD-A8EE-FC73356CF0D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'Par.analysis_t-1,0'!$E$86:$E$93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'Par.analysis_t-1,0'!$I$86:$I$93</c:f>
              <c:numCache>
                <c:formatCode>0.00</c:formatCode>
                <c:ptCount val="8"/>
                <c:pt idx="0">
                  <c:v>7.4790185587966169</c:v>
                </c:pt>
                <c:pt idx="1">
                  <c:v>2.842027052342714</c:v>
                </c:pt>
                <c:pt idx="2">
                  <c:v>2.1053346964121582</c:v>
                </c:pt>
                <c:pt idx="3">
                  <c:v>1.7960930665240569</c:v>
                </c:pt>
                <c:pt idx="4">
                  <c:v>1.5721559692858631</c:v>
                </c:pt>
                <c:pt idx="5">
                  <c:v>1.4292073794721349</c:v>
                </c:pt>
                <c:pt idx="6">
                  <c:v>1.3506091847999691</c:v>
                </c:pt>
                <c:pt idx="7">
                  <c:v>1.3097018617615117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98-4ECD-A8EE-FC73356CF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'Par.analysis_t-1,0'!$E$86:$E$89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300</c:v>
                      </c:pt>
                      <c:pt idx="1">
                        <c:v>600</c:v>
                      </c:pt>
                      <c:pt idx="2">
                        <c:v>810</c:v>
                      </c:pt>
                      <c:pt idx="3">
                        <c:v>990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C98-4ECD-A8EE-FC73356CF0DB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 w="9525"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'Par.analysis_t-1,0'!$G$96:$G$103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79-4314-9A81-550A4B87CB1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'Par.analysis_t-1,0'!$I$96:$I$103</c:f>
              <c:numCache>
                <c:formatCode>0.00</c:formatCode>
                <c:ptCount val="8"/>
                <c:pt idx="0">
                  <c:v>5.5427053169007445</c:v>
                </c:pt>
                <c:pt idx="1">
                  <c:v>2.4642608649466058</c:v>
                </c:pt>
                <c:pt idx="2">
                  <c:v>1.8893994490413601</c:v>
                </c:pt>
                <c:pt idx="3">
                  <c:v>1.6460956831739639</c:v>
                </c:pt>
                <c:pt idx="4">
                  <c:v>1.47744644562114</c:v>
                </c:pt>
                <c:pt idx="5">
                  <c:v>1.3615330001274413</c:v>
                </c:pt>
                <c:pt idx="6">
                  <c:v>1.3035783251157869</c:v>
                </c:pt>
                <c:pt idx="7">
                  <c:v>1.2722887565728589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79-4314-9A81-550A4B87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'Par.analysis_t-1,0'!$E$96:$E$99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779-4314-9A81-550A4B87CB1E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4623279505998519"/>
          <c:y val="0.777297940205686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042554213928076"/>
          <c:y val="2.9870177921459261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'Par.analysis_t-1,0'!$E$107:$E$114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'Par.analysis_t-1,0'!$G$107:$G$114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1-4A8E-96E1-1E0AB99EFC1F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'Par.analysis_t-1,0'!$E$107:$E$114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'Par.analysis_t-1,0'!$I$107:$I$114</c:f>
              <c:numCache>
                <c:formatCode>0.00</c:formatCode>
                <c:ptCount val="8"/>
                <c:pt idx="0">
                  <c:v>3.5093786665724584</c:v>
                </c:pt>
                <c:pt idx="1">
                  <c:v>1.8538200320130362</c:v>
                </c:pt>
                <c:pt idx="2">
                  <c:v>1.5327520120222895</c:v>
                </c:pt>
                <c:pt idx="3">
                  <c:v>1.4111824472745298</c:v>
                </c:pt>
                <c:pt idx="4">
                  <c:v>1.3255075071759554</c:v>
                </c:pt>
                <c:pt idx="5">
                  <c:v>1.2620805493815044</c:v>
                </c:pt>
                <c:pt idx="6">
                  <c:v>1.2308192525703443</c:v>
                </c:pt>
                <c:pt idx="7">
                  <c:v>1.2149692326973311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21-4A8E-96E1-1E0AB99E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'Par.analysis_t-1,0'!$E$76:$E$80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421-4A8E-96E1-1E0AB99EFC1F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577525224054664"/>
          <c:y val="3.1663883994160244E-2"/>
          <c:w val="0.34129740740740744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'Par.analysis_t-1,0'!$E$117:$E$124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'Par.analysis_t-1,0'!$G$117:$G$124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2E-4A47-A00A-689B03D74836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'Par.analysis_t-1,0'!$E$117:$E$124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'Par.analysis_t-1,0'!$I$117:$I$124</c:f>
              <c:numCache>
                <c:formatCode>0.00</c:formatCode>
                <c:ptCount val="8"/>
                <c:pt idx="0">
                  <c:v>5.3867908076603985</c:v>
                </c:pt>
                <c:pt idx="1">
                  <c:v>2.3193127088537828</c:v>
                </c:pt>
                <c:pt idx="2">
                  <c:v>1.8076218445687062</c:v>
                </c:pt>
                <c:pt idx="3">
                  <c:v>1.5948466262093024</c:v>
                </c:pt>
                <c:pt idx="4">
                  <c:v>1.4424450774368516</c:v>
                </c:pt>
                <c:pt idx="5">
                  <c:v>1.3443352947335403</c:v>
                </c:pt>
                <c:pt idx="6">
                  <c:v>1.288968890961949</c:v>
                </c:pt>
                <c:pt idx="7">
                  <c:v>1.2604121953373602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2E-4A47-A00A-689B03D74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'Par.analysis_t-1,0'!$E$86:$E$89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300</c:v>
                      </c:pt>
                      <c:pt idx="1">
                        <c:v>600</c:v>
                      </c:pt>
                      <c:pt idx="2">
                        <c:v>810</c:v>
                      </c:pt>
                      <c:pt idx="3">
                        <c:v>990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A2E-4A47-A00A-689B03D74836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 w="9525"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'Par.analysis_t-1,0'!$G$126:$G$133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8F-4CAB-B210-F785DE9F3572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'Par.analysis_t-1,0'!$E$126:$E$133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'Par.analysis_t-1,0'!$I$126:$I$133</c:f>
              <c:numCache>
                <c:formatCode>0.00</c:formatCode>
                <c:ptCount val="8"/>
                <c:pt idx="0">
                  <c:v>4.2855978731899702</c:v>
                </c:pt>
                <c:pt idx="1">
                  <c:v>2.0547965209721806</c:v>
                </c:pt>
                <c:pt idx="2">
                  <c:v>1.658472694818232</c:v>
                </c:pt>
                <c:pt idx="3">
                  <c:v>1.4941677346109192</c:v>
                </c:pt>
                <c:pt idx="4">
                  <c:v>1.3776440393762575</c:v>
                </c:pt>
                <c:pt idx="5">
                  <c:v>1.297649088460711</c:v>
                </c:pt>
                <c:pt idx="6">
                  <c:v>1.2568620695059911</c:v>
                </c:pt>
                <c:pt idx="7">
                  <c:v>1.2348435012346886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8F-4CAB-B210-F785DE9F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'Par.analysis_t-1,0'!$E$96:$E$99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38F-4CAB-B210-F785DE9F3572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t_2 | d_t,1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'Par.analysis_t-1,0'!$E$14:$E$21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'Par.analysis_t-1,0'!$H$14:$H$21</c:f>
              <c:numCache>
                <c:formatCode>0.000</c:formatCode>
                <c:ptCount val="8"/>
                <c:pt idx="0">
                  <c:v>2.5999999999999999E-2</c:v>
                </c:pt>
                <c:pt idx="1">
                  <c:v>0.14599999999999999</c:v>
                </c:pt>
                <c:pt idx="2">
                  <c:v>0.374</c:v>
                </c:pt>
                <c:pt idx="3">
                  <c:v>0.70199999999999996</c:v>
                </c:pt>
                <c:pt idx="4">
                  <c:v>1.4810000000000001</c:v>
                </c:pt>
                <c:pt idx="5">
                  <c:v>3.274</c:v>
                </c:pt>
                <c:pt idx="6">
                  <c:v>5.8520000000000003</c:v>
                </c:pt>
                <c:pt idx="7">
                  <c:v>8.6329999999999991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91-41F4-A111-C1D5ED8413A3}"/>
            </c:ext>
          </c:extLst>
        </c:ser>
        <c:ser>
          <c:idx val="2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'Par.analysis_t-1,0'!$E$24:$E$31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'Par.analysis_t-1,0'!$H$24:$H$31</c:f>
              <c:numCache>
                <c:formatCode>0.000</c:formatCode>
                <c:ptCount val="8"/>
                <c:pt idx="0">
                  <c:v>3.9E-2</c:v>
                </c:pt>
                <c:pt idx="1">
                  <c:v>0.21299999999999999</c:v>
                </c:pt>
                <c:pt idx="2">
                  <c:v>0.48699999999999999</c:v>
                </c:pt>
                <c:pt idx="3">
                  <c:v>0.88300000000000001</c:v>
                </c:pt>
                <c:pt idx="4">
                  <c:v>1.7509999999999999</c:v>
                </c:pt>
                <c:pt idx="5">
                  <c:v>3.6459999999999999</c:v>
                </c:pt>
                <c:pt idx="6">
                  <c:v>6.4269999999999996</c:v>
                </c:pt>
                <c:pt idx="7">
                  <c:v>9.5419999999999998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91-41F4-A111-C1D5ED8413A3}"/>
            </c:ext>
          </c:extLst>
        </c:ser>
        <c:ser>
          <c:idx val="0"/>
          <c:order val="2"/>
          <c:tx>
            <c:v>cella_5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3366"/>
              </a:solidFill>
              <a:ln w="9525">
                <a:noFill/>
              </a:ln>
              <a:effectLst/>
            </c:spPr>
          </c:marker>
          <c:xVal>
            <c:numRef>
              <c:f>'Par.analysis_t-1,0'!$E$34:$E$41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'Par.analysis_t-1,0'!$H$34:$H$41</c:f>
              <c:numCache>
                <c:formatCode>0.000</c:formatCode>
                <c:ptCount val="8"/>
                <c:pt idx="0">
                  <c:v>3.4000000000000002E-2</c:v>
                </c:pt>
                <c:pt idx="1">
                  <c:v>0.17899999999999999</c:v>
                </c:pt>
                <c:pt idx="2">
                  <c:v>0.42099999999999999</c:v>
                </c:pt>
                <c:pt idx="3">
                  <c:v>0.78900000000000003</c:v>
                </c:pt>
                <c:pt idx="4">
                  <c:v>1.583</c:v>
                </c:pt>
                <c:pt idx="5">
                  <c:v>3.48</c:v>
                </c:pt>
                <c:pt idx="6">
                  <c:v>6.0979999999999999</c:v>
                </c:pt>
                <c:pt idx="7">
                  <c:v>9.1129999999999995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91-41F4-A111-C1D5ED841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680225025431895"/>
          <c:y val="3.432171203362868E-2"/>
          <c:w val="0.26251990073264353"/>
          <c:h val="0.1557735420400856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t_2 | d_t,2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'Par.analysis_t-1,0'!$E$45:$E$52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'Par.analysis_t-1,0'!$H$45:$H$52</c:f>
              <c:numCache>
                <c:formatCode>0.000</c:formatCode>
                <c:ptCount val="8"/>
                <c:pt idx="0">
                  <c:v>2.1000000000000001E-2</c:v>
                </c:pt>
                <c:pt idx="1">
                  <c:v>0.125</c:v>
                </c:pt>
                <c:pt idx="2">
                  <c:v>0.33400000000000002</c:v>
                </c:pt>
                <c:pt idx="3">
                  <c:v>0.64200000000000002</c:v>
                </c:pt>
                <c:pt idx="4">
                  <c:v>1.389</c:v>
                </c:pt>
                <c:pt idx="5">
                  <c:v>3.1280000000000001</c:v>
                </c:pt>
                <c:pt idx="6">
                  <c:v>5.65</c:v>
                </c:pt>
                <c:pt idx="7">
                  <c:v>8.3849999999999998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35-48A2-A101-F3DD2CD77B89}"/>
            </c:ext>
          </c:extLst>
        </c:ser>
        <c:ser>
          <c:idx val="2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'Par.analysis_t-1,0'!$E$55:$E$62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'Par.analysis_t-1,0'!$H$55:$H$62</c:f>
              <c:numCache>
                <c:formatCode>0.000</c:formatCode>
                <c:ptCount val="8"/>
                <c:pt idx="0">
                  <c:v>0.03</c:v>
                </c:pt>
                <c:pt idx="1">
                  <c:v>0.17599999999999999</c:v>
                </c:pt>
                <c:pt idx="2">
                  <c:v>0.41899999999999998</c:v>
                </c:pt>
                <c:pt idx="3">
                  <c:v>0.77900000000000003</c:v>
                </c:pt>
                <c:pt idx="4">
                  <c:v>1.59</c:v>
                </c:pt>
                <c:pt idx="5">
                  <c:v>3.395</c:v>
                </c:pt>
                <c:pt idx="6">
                  <c:v>6.0780000000000003</c:v>
                </c:pt>
                <c:pt idx="7">
                  <c:v>9.1059999999999999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35-48A2-A101-F3DD2CD77B89}"/>
            </c:ext>
          </c:extLst>
        </c:ser>
        <c:ser>
          <c:idx val="0"/>
          <c:order val="2"/>
          <c:tx>
            <c:v>cella_5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3366"/>
              </a:solidFill>
              <a:ln w="9525">
                <a:noFill/>
              </a:ln>
              <a:effectLst/>
            </c:spPr>
          </c:marker>
          <c:xVal>
            <c:numRef>
              <c:f>'Par.analysis_t-1,0'!$E$65:$E$72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'Par.analysis_t-1,0'!$H$65:$H$72</c:f>
              <c:numCache>
                <c:formatCode>0.000</c:formatCode>
                <c:ptCount val="8"/>
                <c:pt idx="0">
                  <c:v>2.7E-2</c:v>
                </c:pt>
                <c:pt idx="1">
                  <c:v>0.151</c:v>
                </c:pt>
                <c:pt idx="2">
                  <c:v>0.36799999999999999</c:v>
                </c:pt>
                <c:pt idx="3">
                  <c:v>0.70899999999999996</c:v>
                </c:pt>
                <c:pt idx="4">
                  <c:v>1.46</c:v>
                </c:pt>
                <c:pt idx="5">
                  <c:v>3.2850000000000001</c:v>
                </c:pt>
                <c:pt idx="6">
                  <c:v>5.83</c:v>
                </c:pt>
                <c:pt idx="7">
                  <c:v>8.7780000000000005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35-48A2-A101-F3DD2CD77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74753731326"/>
          <c:y val="3.432171203362868E-2"/>
          <c:w val="0.26251990073264353"/>
          <c:h val="0.1557735420400856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t_2 | d_t,2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'Par.analysis_t-1,0'!$E$45:$E$52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'Par.analysis_t-1,0'!$F$45:$F$52</c:f>
              <c:numCache>
                <c:formatCode>0.000</c:formatCode>
                <c:ptCount val="8"/>
                <c:pt idx="0">
                  <c:v>3.7103291027728584E-3</c:v>
                </c:pt>
                <c:pt idx="1">
                  <c:v>5.13281187189377E-2</c:v>
                </c:pt>
                <c:pt idx="2">
                  <c:v>0.18101192476004485</c:v>
                </c:pt>
                <c:pt idx="3">
                  <c:v>0.39605029875723535</c:v>
                </c:pt>
                <c:pt idx="4">
                  <c:v>0.94984425030985176</c:v>
                </c:pt>
                <c:pt idx="5">
                  <c:v>2.3189556892330363</c:v>
                </c:pt>
                <c:pt idx="6">
                  <c:v>4.366723563423796</c:v>
                </c:pt>
                <c:pt idx="7">
                  <c:v>6.6231693440184758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B9-4E2A-B1CF-132ADE38ED28}"/>
            </c:ext>
          </c:extLst>
        </c:ser>
        <c:ser>
          <c:idx val="2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'Par.analysis_t-1,0'!$E$55:$E$62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'Par.analysis_t-1,0'!$F$55:$F$62</c:f>
              <c:numCache>
                <c:formatCode>0.000</c:formatCode>
                <c:ptCount val="8"/>
                <c:pt idx="0">
                  <c:v>3.3431754188173613E-3</c:v>
                </c:pt>
                <c:pt idx="1">
                  <c:v>5.3490806701077781E-2</c:v>
                </c:pt>
                <c:pt idx="2">
                  <c:v>0.17767004877517173</c:v>
                </c:pt>
                <c:pt idx="3">
                  <c:v>0.39647419358593039</c:v>
                </c:pt>
                <c:pt idx="4">
                  <c:v>0.94470147146527661</c:v>
                </c:pt>
                <c:pt idx="5">
                  <c:v>2.2617253686558634</c:v>
                </c:pt>
                <c:pt idx="6">
                  <c:v>4.3327553427873005</c:v>
                </c:pt>
                <c:pt idx="7">
                  <c:v>6.7368732388814321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E2A-B1CF-132ADE38ED28}"/>
            </c:ext>
          </c:extLst>
        </c:ser>
        <c:ser>
          <c:idx val="0"/>
          <c:order val="2"/>
          <c:tx>
            <c:v>cella_5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3366"/>
              </a:solidFill>
              <a:ln w="9525">
                <a:noFill/>
              </a:ln>
              <a:effectLst/>
            </c:spPr>
          </c:marker>
          <c:xVal>
            <c:numRef>
              <c:f>'Par.analysis_t-1,0'!$E$65:$E$72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'Par.analysis_t-1,0'!$F$65:$F$72</c:f>
              <c:numCache>
                <c:formatCode>0.000</c:formatCode>
                <c:ptCount val="8"/>
                <c:pt idx="0">
                  <c:v>3.9701844437135371E-3</c:v>
                </c:pt>
                <c:pt idx="1">
                  <c:v>5.3579300969967207E-2</c:v>
                </c:pt>
                <c:pt idx="2">
                  <c:v>0.17682044307690831</c:v>
                </c:pt>
                <c:pt idx="3">
                  <c:v>0.39922716580956158</c:v>
                </c:pt>
                <c:pt idx="4">
                  <c:v>0.93428016958355153</c:v>
                </c:pt>
                <c:pt idx="5">
                  <c:v>2.3200307745496298</c:v>
                </c:pt>
                <c:pt idx="6">
                  <c:v>4.3399233785673452</c:v>
                </c:pt>
                <c:pt idx="7">
                  <c:v>6.7305197013611204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B9-4E2A-B1CF-132ADE38E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74753731326"/>
          <c:y val="3.432171203362868E-2"/>
          <c:w val="0.26251990073264353"/>
          <c:h val="0.1557735420400856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t_2 </a:t>
            </a:r>
          </a:p>
        </c:rich>
      </c:tx>
      <c:layout>
        <c:manualLayout>
          <c:xMode val="edge"/>
          <c:yMode val="edge"/>
          <c:x val="0.63896562694525838"/>
          <c:y val="0.76699810936260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2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'Par.analysis_t-1,0'!$H$34:$H$41</c:f>
              <c:numCache>
                <c:formatCode>0.000</c:formatCode>
                <c:ptCount val="8"/>
                <c:pt idx="0">
                  <c:v>3.4000000000000002E-2</c:v>
                </c:pt>
                <c:pt idx="1">
                  <c:v>0.17899999999999999</c:v>
                </c:pt>
                <c:pt idx="2">
                  <c:v>0.42099999999999999</c:v>
                </c:pt>
                <c:pt idx="3">
                  <c:v>0.78900000000000003</c:v>
                </c:pt>
                <c:pt idx="4">
                  <c:v>1.583</c:v>
                </c:pt>
                <c:pt idx="5">
                  <c:v>3.48</c:v>
                </c:pt>
                <c:pt idx="6">
                  <c:v>6.0979999999999999</c:v>
                </c:pt>
                <c:pt idx="7">
                  <c:v>9.1129999999999995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A9-4716-BC2C-364F2E00C07D}"/>
            </c:ext>
          </c:extLst>
        </c:ser>
        <c:ser>
          <c:idx val="0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'Par.analysis_t-1,0'!$E$65:$E$72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'Par.analysis_t-1,0'!$H$65:$H$72</c:f>
              <c:numCache>
                <c:formatCode>0.000</c:formatCode>
                <c:ptCount val="8"/>
                <c:pt idx="0">
                  <c:v>2.7E-2</c:v>
                </c:pt>
                <c:pt idx="1">
                  <c:v>0.151</c:v>
                </c:pt>
                <c:pt idx="2">
                  <c:v>0.36799999999999999</c:v>
                </c:pt>
                <c:pt idx="3">
                  <c:v>0.70899999999999996</c:v>
                </c:pt>
                <c:pt idx="4">
                  <c:v>1.46</c:v>
                </c:pt>
                <c:pt idx="5">
                  <c:v>3.2850000000000001</c:v>
                </c:pt>
                <c:pt idx="6">
                  <c:v>5.83</c:v>
                </c:pt>
                <c:pt idx="7">
                  <c:v>8.7780000000000005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3A9-4716-BC2C-364F2E00C07D}"/>
            </c:ext>
          </c:extLst>
        </c:ser>
        <c:ser>
          <c:idx val="1"/>
          <c:order val="2"/>
          <c:tx>
            <c:v>d_t,3</c:v>
          </c:tx>
          <c:spPr>
            <a:ln w="9525" cap="rnd">
              <a:solidFill>
                <a:srgbClr val="FD39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D398D"/>
              </a:solidFill>
              <a:ln w="9525">
                <a:noFill/>
              </a:ln>
              <a:effectLst/>
            </c:spPr>
          </c:marker>
          <c:xVal>
            <c:numRef>
              <c:f>'Par.analysis_t-1,0'!$E$96:$E$103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'Par.analysis_t-1,0'!$H$96:$H$103</c:f>
              <c:numCache>
                <c:formatCode>0.000</c:formatCode>
                <c:ptCount val="8"/>
                <c:pt idx="0">
                  <c:v>2.1999999999999999E-2</c:v>
                </c:pt>
                <c:pt idx="1">
                  <c:v>0.13200000000000001</c:v>
                </c:pt>
                <c:pt idx="2">
                  <c:v>0.33400000000000002</c:v>
                </c:pt>
                <c:pt idx="3">
                  <c:v>0.65700000000000003</c:v>
                </c:pt>
                <c:pt idx="4">
                  <c:v>1.38</c:v>
                </c:pt>
                <c:pt idx="5">
                  <c:v>3.1579999999999999</c:v>
                </c:pt>
                <c:pt idx="6">
                  <c:v>5.6559999999999997</c:v>
                </c:pt>
                <c:pt idx="7">
                  <c:v>8.5609999999999999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3A9-4716-BC2C-364F2E00C07D}"/>
            </c:ext>
          </c:extLst>
        </c:ser>
        <c:ser>
          <c:idx val="3"/>
          <c:order val="3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'Par.analysis_t-1,0'!$E$126:$E$133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'Par.analysis_t-1,0'!$H$126:$H$133</c:f>
              <c:numCache>
                <c:formatCode>0.000</c:formatCode>
                <c:ptCount val="8"/>
                <c:pt idx="0">
                  <c:v>1.7000000000000001E-2</c:v>
                </c:pt>
                <c:pt idx="1">
                  <c:v>0.11</c:v>
                </c:pt>
                <c:pt idx="2">
                  <c:v>0.29299999999999998</c:v>
                </c:pt>
                <c:pt idx="3">
                  <c:v>0.59599999999999997</c:v>
                </c:pt>
                <c:pt idx="4">
                  <c:v>1.286</c:v>
                </c:pt>
                <c:pt idx="5">
                  <c:v>3.008</c:v>
                </c:pt>
                <c:pt idx="6">
                  <c:v>5.45</c:v>
                </c:pt>
                <c:pt idx="7">
                  <c:v>8.3040000000000003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3A9-4716-BC2C-364F2E00C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3210157331"/>
          <c:y val="3.4316555212603517E-2"/>
          <c:w val="0.23274890873601767"/>
          <c:h val="0.21304104229213147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d_t,4 </a:t>
            </a:r>
          </a:p>
        </c:rich>
      </c:tx>
      <c:layout>
        <c:manualLayout>
          <c:xMode val="edge"/>
          <c:yMode val="edge"/>
          <c:x val="0.79713753090387474"/>
          <c:y val="0.7626087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96372471115843"/>
          <c:y val="2.472469135802469E-2"/>
          <c:w val="0.71211852050602009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('Buckling__t-1,0'!$R$27,'Buckling__t-1,0'!$R$32,'Buckling__t-1,0'!$R$37)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('Buckling__t-1,0'!$R$28,'Buckling__t-1,0'!$R$33,'Buckling__t-1,0'!$R$38)</c:f>
              <c:numCache>
                <c:formatCode>0.00</c:formatCode>
                <c:ptCount val="3"/>
                <c:pt idx="0">
                  <c:v>-0.2</c:v>
                </c:pt>
                <c:pt idx="1">
                  <c:v>-0.33</c:v>
                </c:pt>
                <c:pt idx="2">
                  <c:v>-0.5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1F-426B-89B6-1FA075B03C95}"/>
            </c:ext>
          </c:extLst>
        </c:ser>
        <c:ser>
          <c:idx val="1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('Buckling__t-1,0'!$S$27,'Buckling__t-1,0'!$S$32,'Buckling__t-1,0'!$S$37)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('Buckling__t-1,0'!$S$28,'Buckling__t-1,0'!$S$33,'Buckling__t-1,0'!$S$38)</c:f>
              <c:numCache>
                <c:formatCode>0.00</c:formatCode>
                <c:ptCount val="3"/>
                <c:pt idx="0">
                  <c:v>-0.33</c:v>
                </c:pt>
                <c:pt idx="1">
                  <c:v>-0.51</c:v>
                </c:pt>
                <c:pt idx="2">
                  <c:v>-0.81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1F-426B-89B6-1FA075B03C95}"/>
            </c:ext>
          </c:extLst>
        </c:ser>
        <c:ser>
          <c:idx val="2"/>
          <c:order val="2"/>
          <c:tx>
            <c:v>cella_5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('Buckling__t-1,0'!$T$27,'Buckling__t-1,0'!$T$32,'Buckling__t-1,0'!$T$37)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('Buckling__t-1,0'!$T$28,'Buckling__t-1,0'!$T$33,'Buckling__t-1,0'!$T$38)</c:f>
              <c:numCache>
                <c:formatCode>0.00</c:formatCode>
                <c:ptCount val="3"/>
                <c:pt idx="0">
                  <c:v>-0.26</c:v>
                </c:pt>
                <c:pt idx="1">
                  <c:v>-0.41</c:v>
                </c:pt>
                <c:pt idx="2">
                  <c:v>-0.65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1F-426B-89B6-1FA075B03C95}"/>
            </c:ext>
          </c:extLst>
        </c:ser>
        <c:ser>
          <c:idx val="3"/>
          <c:order val="3"/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('Buckling__t-1,0'!$R$27,'Buckling__t-1,0'!$R$32,'Buckling__t-1,0'!$R$37)</c:f>
              <c:numCache>
                <c:formatCode>0.0</c:formatCode>
                <c:ptCount val="3"/>
                <c:pt idx="0">
                  <c:v>814</c:v>
                </c:pt>
                <c:pt idx="1">
                  <c:v>1232</c:v>
                </c:pt>
                <c:pt idx="2">
                  <c:v>1804</c:v>
                </c:pt>
              </c:numCache>
            </c:numRef>
          </c:xVal>
          <c:yVal>
            <c:numRef>
              <c:f>('Buckling__t-1,0'!$R$30,'Buckling__t-1,0'!$R$35,'Buckling__t-1,0'!$R$40)</c:f>
              <c:numCache>
                <c:formatCode>0.00</c:formatCode>
                <c:ptCount val="3"/>
                <c:pt idx="0">
                  <c:v>0.2</c:v>
                </c:pt>
                <c:pt idx="1">
                  <c:v>0.37</c:v>
                </c:pt>
                <c:pt idx="2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1F-426B-89B6-1FA075B03C95}"/>
            </c:ext>
          </c:extLst>
        </c:ser>
        <c:ser>
          <c:idx val="4"/>
          <c:order val="4"/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('Buckling__t-1,0'!$S$27,'Buckling__t-1,0'!$S$32,'Buckling__t-1,0'!$S$37)</c:f>
              <c:numCache>
                <c:formatCode>0.0</c:formatCode>
                <c:ptCount val="3"/>
                <c:pt idx="0">
                  <c:v>810</c:v>
                </c:pt>
                <c:pt idx="1">
                  <c:v>1230</c:v>
                </c:pt>
                <c:pt idx="2">
                  <c:v>1800</c:v>
                </c:pt>
              </c:numCache>
            </c:numRef>
          </c:xVal>
          <c:yVal>
            <c:numRef>
              <c:f>('Buckling__t-1,0'!$S$30,'Buckling__t-1,0'!$S$35,'Buckling__t-1,0'!$S$40)</c:f>
              <c:numCache>
                <c:formatCode>0.00</c:formatCode>
                <c:ptCount val="3"/>
                <c:pt idx="0">
                  <c:v>0.31</c:v>
                </c:pt>
                <c:pt idx="1">
                  <c:v>0.5</c:v>
                </c:pt>
                <c:pt idx="2">
                  <c:v>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1F-426B-89B6-1FA075B03C95}"/>
            </c:ext>
          </c:extLst>
        </c:ser>
        <c:ser>
          <c:idx val="5"/>
          <c:order val="5"/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('Buckling__t-1,0'!$T$27,'Buckling__t-1,0'!$T$32,'Buckling__t-1,0'!$T$37)</c:f>
              <c:numCache>
                <c:formatCode>0.0</c:formatCode>
                <c:ptCount val="3"/>
                <c:pt idx="0">
                  <c:v>809.1</c:v>
                </c:pt>
                <c:pt idx="1">
                  <c:v>1226.7</c:v>
                </c:pt>
                <c:pt idx="2">
                  <c:v>1800.9</c:v>
                </c:pt>
              </c:numCache>
            </c:numRef>
          </c:xVal>
          <c:yVal>
            <c:numRef>
              <c:f>('Buckling__t-1,0'!$T$30,'Buckling__t-1,0'!$T$35,'Buckling__t-1,0'!$T$40)</c:f>
              <c:numCache>
                <c:formatCode>0.00</c:formatCode>
                <c:ptCount val="3"/>
                <c:pt idx="0">
                  <c:v>0.25</c:v>
                </c:pt>
                <c:pt idx="1">
                  <c:v>0.4</c:v>
                </c:pt>
                <c:pt idx="2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1F-426B-89B6-1FA075B03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2000"/>
          <c:min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2.5"/>
        <c:crossBetween val="midCat"/>
        <c:majorUnit val="400"/>
        <c:minorUnit val="200"/>
      </c:valAx>
      <c:valAx>
        <c:axId val="464055376"/>
        <c:scaling>
          <c:orientation val="minMax"/>
          <c:max val="2.5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n,min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e </a:t>
                </a:r>
                <a:r>
                  <a:rPr lang="el-GR" sz="110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100" b="0" i="0" baseline="-25000">
                    <a:solidFill>
                      <a:sysClr val="windowText" lastClr="000000"/>
                    </a:solidFill>
                    <a:effectLst/>
                  </a:rPr>
                  <a:t>n,max</a:t>
                </a:r>
                <a:r>
                  <a:rPr lang="it-IT" sz="110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11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50381944444444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5"/>
        <c:minorUnit val="0.2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1531357942424809"/>
          <c:y val="3.5949459876543216E-2"/>
          <c:w val="0.26102146059415049"/>
          <c:h val="0.15005478395061728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t_2 </a:t>
            </a:r>
          </a:p>
        </c:rich>
      </c:tx>
      <c:layout>
        <c:manualLayout>
          <c:xMode val="edge"/>
          <c:yMode val="edge"/>
          <c:x val="0.63896562694525838"/>
          <c:y val="0.76699810936260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2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'Par.analysis_t-1,0'!$E$34:$E$41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'Par.analysis_t-1,0'!$F$34:$F$41</c:f>
              <c:numCache>
                <c:formatCode>0.000</c:formatCode>
                <c:ptCount val="8"/>
                <c:pt idx="0">
                  <c:v>3.9710546044016796E-3</c:v>
                </c:pt>
                <c:pt idx="1">
                  <c:v>5.3591044152699198E-2</c:v>
                </c:pt>
                <c:pt idx="2">
                  <c:v>0.17685919749766804</c:v>
                </c:pt>
                <c:pt idx="3">
                  <c:v>0.39931466597240067</c:v>
                </c:pt>
                <c:pt idx="4">
                  <c:v>0.93448493938374821</c:v>
                </c:pt>
                <c:pt idx="5">
                  <c:v>2.3205392646724228</c:v>
                </c:pt>
                <c:pt idx="6">
                  <c:v>4.3408745763686367</c:v>
                </c:pt>
                <c:pt idx="7">
                  <c:v>6.7319948554094848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78-423E-8C17-0E1D93BF619E}"/>
            </c:ext>
          </c:extLst>
        </c:ser>
        <c:ser>
          <c:idx val="0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'Par.analysis_t-1,0'!$E$65:$E$72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'Par.analysis_t-1,0'!$F$65:$F$72</c:f>
              <c:numCache>
                <c:formatCode>0.000</c:formatCode>
                <c:ptCount val="8"/>
                <c:pt idx="0">
                  <c:v>3.9701844437135371E-3</c:v>
                </c:pt>
                <c:pt idx="1">
                  <c:v>5.3579300969967207E-2</c:v>
                </c:pt>
                <c:pt idx="2">
                  <c:v>0.17682044307690831</c:v>
                </c:pt>
                <c:pt idx="3">
                  <c:v>0.39922716580956158</c:v>
                </c:pt>
                <c:pt idx="4">
                  <c:v>0.93428016958355153</c:v>
                </c:pt>
                <c:pt idx="5">
                  <c:v>2.3200307745496298</c:v>
                </c:pt>
                <c:pt idx="6">
                  <c:v>4.3399233785673452</c:v>
                </c:pt>
                <c:pt idx="7">
                  <c:v>6.7305197013611204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78-423E-8C17-0E1D93BF619E}"/>
            </c:ext>
          </c:extLst>
        </c:ser>
        <c:ser>
          <c:idx val="1"/>
          <c:order val="2"/>
          <c:tx>
            <c:v>d_t,3</c:v>
          </c:tx>
          <c:spPr>
            <a:ln w="9525" cap="rnd">
              <a:solidFill>
                <a:srgbClr val="FD39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D398D"/>
              </a:solidFill>
              <a:ln w="9525">
                <a:noFill/>
              </a:ln>
              <a:effectLst/>
            </c:spPr>
          </c:marker>
          <c:xVal>
            <c:numRef>
              <c:f>'Par.analysis_t-1,0'!$E$96:$E$103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'Par.analysis_t-1,0'!$F$96:$F$103</c:f>
              <c:numCache>
                <c:formatCode>0.000</c:formatCode>
                <c:ptCount val="8"/>
                <c:pt idx="0">
                  <c:v>3.9691808858966192E-3</c:v>
                </c:pt>
                <c:pt idx="1">
                  <c:v>5.3565757537142933E-2</c:v>
                </c:pt>
                <c:pt idx="2">
                  <c:v>0.17677574753685055</c:v>
                </c:pt>
                <c:pt idx="3">
                  <c:v>0.39912625172139915</c:v>
                </c:pt>
                <c:pt idx="4">
                  <c:v>0.93404400822110867</c:v>
                </c:pt>
                <c:pt idx="5">
                  <c:v>2.3194443320172238</c:v>
                </c:pt>
                <c:pt idx="6">
                  <c:v>4.3388263605085795</c:v>
                </c:pt>
                <c:pt idx="7">
                  <c:v>6.72881840366224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78-423E-8C17-0E1D93BF619E}"/>
            </c:ext>
          </c:extLst>
        </c:ser>
        <c:ser>
          <c:idx val="3"/>
          <c:order val="3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'Par.analysis_t-1,0'!$E$126:$E$133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'Par.analysis_t-1,0'!$F$126:$F$133</c:f>
              <c:numCache>
                <c:formatCode>0.000</c:formatCode>
                <c:ptCount val="8"/>
                <c:pt idx="0">
                  <c:v>3.9667744158520665E-3</c:v>
                </c:pt>
                <c:pt idx="1">
                  <c:v>5.3533281216553735E-2</c:v>
                </c:pt>
                <c:pt idx="2">
                  <c:v>0.17666857037529501</c:v>
                </c:pt>
                <c:pt idx="3">
                  <c:v>0.3988842659322972</c:v>
                </c:pt>
                <c:pt idx="4">
                  <c:v>0.93347770777003458</c:v>
                </c:pt>
                <c:pt idx="5">
                  <c:v>2.3180380788215484</c:v>
                </c:pt>
                <c:pt idx="6">
                  <c:v>4.336195778540854</c:v>
                </c:pt>
                <c:pt idx="7">
                  <c:v>6.724738796209432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78-423E-8C17-0E1D93BF6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3425294891"/>
          <c:y val="3.4316555212603517E-2"/>
          <c:w val="0.23274890873601767"/>
          <c:h val="0.21304104229213147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2395052136697959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('Interf.F&amp;M__CELL-2__t-1,0'!$E$23,'Interf.F&amp;M__CELL-2__t-1,0'!$E$30,'Interf.F&amp;M__CELL-2__t-1,0'!$E$37,'Interf.F&amp;M__CELL-2__t-1,0'!$E$44)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('Interf.F&amp;M__CELL-2__t-1,0'!$G$28,'Interf.F&amp;M__CELL-2__t-1,0'!$G$35,'Interf.F&amp;M__CELL-2__t-1,0'!$G$42,'Interf.F&amp;M__CELL-2__t-1,0'!$G$49)</c:f>
              <c:numCache>
                <c:formatCode>0.00</c:formatCode>
                <c:ptCount val="4"/>
                <c:pt idx="0">
                  <c:v>6.8566960038239352E-2</c:v>
                </c:pt>
                <c:pt idx="1">
                  <c:v>0.21070552004656817</c:v>
                </c:pt>
                <c:pt idx="2">
                  <c:v>0.20482211460447936</c:v>
                </c:pt>
                <c:pt idx="3">
                  <c:v>0.15169318575477084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A9-4878-9952-B8F67D59FE36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('Interf.F&amp;M__CELL-2__t-1,0'!$E$56,'Interf.F&amp;M__CELL-2__t-1,0'!$E$63,'Interf.F&amp;M__CELL-2__t-1,0'!$E$70,'Interf.F&amp;M__CELL-2__t-1,0'!$E$77)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('Interf.F&amp;M__CELL-2__t-1,0'!$G$61,'Interf.F&amp;M__CELL-2__t-1,0'!$G$68,'Interf.F&amp;M__CELL-2__t-1,0'!$G$75,'Interf.F&amp;M__CELL-2__t-1,0'!$G$82)</c:f>
              <c:numCache>
                <c:formatCode>0.00</c:formatCode>
                <c:ptCount val="4"/>
                <c:pt idx="0">
                  <c:v>8.3337450056846757E-2</c:v>
                </c:pt>
                <c:pt idx="1">
                  <c:v>0.21247168344819098</c:v>
                </c:pt>
                <c:pt idx="2">
                  <c:v>0.20532228996374446</c:v>
                </c:pt>
                <c:pt idx="3">
                  <c:v>0.15405412520910483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A9-4878-9952-B8F67D59F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602104043413585"/>
          <c:y val="3.3805555555555554E-2"/>
          <c:w val="0.22949655984773989"/>
          <c:h val="0.1114691358024691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3799271132943058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('Interf.F&amp;M__CELL-2__t-1,0'!$O$23,'Interf.F&amp;M__CELL-2__t-1,0'!$O$30,'Interf.F&amp;M__CELL-2__t-1,0'!$O$37,'Interf.F&amp;M__CELL-2__t-1,0'!$O$44)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('Interf.F&amp;M__CELL-2__t-1,0'!$Q$28,'Interf.F&amp;M__CELL-2__t-1,0'!$Q$35,'Interf.F&amp;M__CELL-2__t-1,0'!$Q$42,'Interf.F&amp;M__CELL-2__t-1,0'!$Q$49)</c:f>
              <c:numCache>
                <c:formatCode>0.00</c:formatCode>
                <c:ptCount val="4"/>
                <c:pt idx="0">
                  <c:v>0.14411311898928747</c:v>
                </c:pt>
                <c:pt idx="1">
                  <c:v>0.21974969010148857</c:v>
                </c:pt>
                <c:pt idx="2">
                  <c:v>0.19856409570661002</c:v>
                </c:pt>
                <c:pt idx="3">
                  <c:v>0.10771914474534171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A0-45F6-9234-95D0E4F74F69}"/>
            </c:ext>
          </c:extLst>
        </c:ser>
        <c:ser>
          <c:idx val="1"/>
          <c:order val="1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('Interf.F&amp;M__CELL-2__t-1,0'!$O$56,'Interf.F&amp;M__CELL-2__t-1,0'!$O$63,'Interf.F&amp;M__CELL-2__t-1,0'!$O$70,'Interf.F&amp;M__CELL-2__t-1,0'!$O$77)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-2__t-1,0'!$G$61,'Interf.F&amp;M__CELL-2__t-1,0'!$G$68,'Interf.F&amp;M__CELL-2__t-1,0'!$G$75,'Interf.F&amp;M__CELL-2__t-1,0'!$G$82,'Interf.F&amp;M__CELL-2__t-1,0'!$Q$61,'Interf.F&amp;M__CELL-2__t-1,0'!$Q$68,'Interf.F&amp;M__CELL-2__t-1,0'!$Q$75,'Interf.F&amp;M__CELL-2__t-1,0'!$Q$82)</c:f>
              <c:numCache>
                <c:formatCode>0.00</c:formatCode>
                <c:ptCount val="8"/>
                <c:pt idx="0">
                  <c:v>8.3337450056846757E-2</c:v>
                </c:pt>
                <c:pt idx="1">
                  <c:v>0.21247168344819098</c:v>
                </c:pt>
                <c:pt idx="2">
                  <c:v>0.20532228996374446</c:v>
                </c:pt>
                <c:pt idx="3">
                  <c:v>0.15405412520910483</c:v>
                </c:pt>
                <c:pt idx="4">
                  <c:v>9.1533525399462579E-2</c:v>
                </c:pt>
                <c:pt idx="5">
                  <c:v>0.22093419388424207</c:v>
                </c:pt>
                <c:pt idx="6">
                  <c:v>0.19852944476039164</c:v>
                </c:pt>
                <c:pt idx="7">
                  <c:v>0.12021815004229039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A0-45F6-9234-95D0E4F74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602104043413585"/>
          <c:y val="3.3805555555555554E-2"/>
          <c:w val="0.22949655984773989"/>
          <c:h val="0.1114691358024691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d_t,1 |</a:t>
            </a:r>
            <a:r>
              <a:rPr lang="it-IT" sz="1000" baseline="0">
                <a:solidFill>
                  <a:sysClr val="windowText" lastClr="000000"/>
                </a:solidFill>
              </a:rPr>
              <a:t> Sup.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7075782124181615"/>
          <c:y val="0.727331018518518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2222222221"/>
          <c:y val="2.472469135802469E-2"/>
          <c:w val="0.72148000000000001"/>
          <c:h val="0.78111342592592581"/>
        </c:manualLayout>
      </c:layout>
      <c:scatterChart>
        <c:scatterStyle val="lineMarker"/>
        <c:varyColors val="0"/>
        <c:ser>
          <c:idx val="0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('Interf.F&amp;M__CELL-2__t-1,0'!$E$23,'Interf.F&amp;M__CELL-2__t-1,0'!$E$30,'Interf.F&amp;M__CELL-2__t-1,0'!$E$37,'Interf.F&amp;M__CELL-2__t-1,0'!$E$44)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('Interf.F&amp;M__CELL-2__t-1,0'!$G$28,'Interf.F&amp;M__CELL-2__t-1,0'!$G$35,'Interf.F&amp;M__CELL-2__t-1,0'!$G$42,'Interf.F&amp;M__CELL-2__t-1,0'!$G$49)</c:f>
              <c:numCache>
                <c:formatCode>0.00</c:formatCode>
                <c:ptCount val="4"/>
                <c:pt idx="0">
                  <c:v>6.8566960038239352E-2</c:v>
                </c:pt>
                <c:pt idx="1">
                  <c:v>0.21070552004656817</c:v>
                </c:pt>
                <c:pt idx="2">
                  <c:v>0.20482211460447936</c:v>
                </c:pt>
                <c:pt idx="3">
                  <c:v>0.15169318575477084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9F-43E0-82A1-CD6C0887A52B}"/>
            </c:ext>
          </c:extLst>
        </c:ser>
        <c:ser>
          <c:idx val="1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('Interf.F&amp;M__CELL-4__t-1,0'!$E$23,'Interf.F&amp;M__CELL-4__t-1,0'!$E$30,'Interf.F&amp;M__CELL-4__t-1,0'!$E$37,'Interf.F&amp;M__CELL-4__t-1,0'!$E$44)</c:f>
              <c:strCache>
                <c:ptCount val="4"/>
                <c:pt idx="0">
                  <c:v>s,1</c:v>
                </c:pt>
                <c:pt idx="1">
                  <c:v>s,2</c:v>
                </c:pt>
                <c:pt idx="2">
                  <c:v>s,3</c:v>
                </c:pt>
                <c:pt idx="3">
                  <c:v>s,4</c:v>
                </c:pt>
              </c:strCache>
            </c:strRef>
          </c:xVal>
          <c:yVal>
            <c:numRef>
              <c:f>('Interf.F&amp;M__CELL-4__t-1,0'!$G$28,'Interf.F&amp;M__CELL-4__t-1,0'!$G$35,'Interf.F&amp;M__CELL-4__t-1,0'!$G$42,'Interf.F&amp;M__CELL-4__t-1,0'!$G$49)</c:f>
              <c:numCache>
                <c:formatCode>0.00</c:formatCode>
                <c:ptCount val="4"/>
                <c:pt idx="0">
                  <c:v>0.15605482813389837</c:v>
                </c:pt>
                <c:pt idx="1">
                  <c:v>0.38163408290437328</c:v>
                </c:pt>
                <c:pt idx="2">
                  <c:v>0.36837951091825977</c:v>
                </c:pt>
                <c:pt idx="3">
                  <c:v>0.17406187309884893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9F-43E0-82A1-CD6C0887A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44902611331347031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0.60000000000000009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4031044665215"/>
          <c:y val="3.9685185185185184E-2"/>
          <c:w val="0.24821947979767447"/>
          <c:h val="0.1232282407407407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d_t,1 |</a:t>
            </a:r>
            <a:r>
              <a:rPr lang="it-IT" sz="1000" baseline="0">
                <a:solidFill>
                  <a:sysClr val="windowText" lastClr="000000"/>
                </a:solidFill>
              </a:rPr>
              <a:t> Inf.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69416155002331659"/>
          <c:y val="0.721514639814025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0260226473619111"/>
          <c:y val="2.9900462962962962E-2"/>
          <c:w val="0.72148000000000001"/>
          <c:h val="0.77523379629629618"/>
        </c:manualLayout>
      </c:layout>
      <c:scatterChart>
        <c:scatterStyle val="lineMarker"/>
        <c:varyColors val="0"/>
        <c:ser>
          <c:idx val="0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strRef>
              <c:f>('Interf.F&amp;M__CELL-2__t-1,0'!$O$23,'Interf.F&amp;M__CELL-2__t-1,0'!$O$30,'Interf.F&amp;M__CELL-2__t-1,0'!$O$37,'Interf.F&amp;M__CELL-2__t-1,0'!$O$44)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('Interf.F&amp;M__CELL-2__t-1,0'!$Q$28,'Interf.F&amp;M__CELL-2__t-1,0'!$Q$35,'Interf.F&amp;M__CELL-2__t-1,0'!$Q$42,'Interf.F&amp;M__CELL-2__t-1,0'!$Q$49)</c:f>
              <c:numCache>
                <c:formatCode>0.00</c:formatCode>
                <c:ptCount val="4"/>
                <c:pt idx="0">
                  <c:v>0.14411311898928747</c:v>
                </c:pt>
                <c:pt idx="1">
                  <c:v>0.21974969010148857</c:v>
                </c:pt>
                <c:pt idx="2">
                  <c:v>0.19856409570661002</c:v>
                </c:pt>
                <c:pt idx="3">
                  <c:v>0.10771914474534171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C4-4F10-954C-2A358C8D60BF}"/>
            </c:ext>
          </c:extLst>
        </c:ser>
        <c:ser>
          <c:idx val="1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('Interf.F&amp;M__CELL-4__t-1,0'!$O$23,'Interf.F&amp;M__CELL-4__t-1,0'!$O$30,'Interf.F&amp;M__CELL-4__t-1,0'!$O$37,'Interf.F&amp;M__CELL-4__t-1,0'!$O$44)</c:f>
              <c:strCache>
                <c:ptCount val="4"/>
                <c:pt idx="0">
                  <c:v>i,1</c:v>
                </c:pt>
                <c:pt idx="1">
                  <c:v>i,2</c:v>
                </c:pt>
                <c:pt idx="2">
                  <c:v>i,3</c:v>
                </c:pt>
                <c:pt idx="3">
                  <c:v>i,4</c:v>
                </c:pt>
              </c:strCache>
            </c:strRef>
          </c:xVal>
          <c:yVal>
            <c:numRef>
              <c:f>('Interf.F&amp;M__CELL-4__t-1,0'!$Q$28,'Interf.F&amp;M__CELL-4__t-1,0'!$Q$35,'Interf.F&amp;M__CELL-4__t-1,0'!$Q$42,'Interf.F&amp;M__CELL-4__t-1,0'!$Q$49)</c:f>
              <c:numCache>
                <c:formatCode>0.00</c:formatCode>
                <c:ptCount val="4"/>
                <c:pt idx="0">
                  <c:v>0.2060724012537376</c:v>
                </c:pt>
                <c:pt idx="1">
                  <c:v>0.39993561671731398</c:v>
                </c:pt>
                <c:pt idx="2">
                  <c:v>0.34737285553620545</c:v>
                </c:pt>
                <c:pt idx="3">
                  <c:v>0.13461512229497691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C4-4F10-954C-2A358C8D6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/>
      </c:scatterChart>
      <c:valAx>
        <c:axId val="464058984"/>
        <c:scaling>
          <c:orientation val="minMax"/>
          <c:max val="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Posizione</a:t>
                </a:r>
              </a:p>
            </c:rich>
          </c:tx>
          <c:layout>
            <c:manualLayout>
              <c:xMode val="edge"/>
              <c:yMode val="edge"/>
              <c:x val="0.4630683032759213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"/>
        <c:minorUnit val="1"/>
      </c:valAx>
      <c:valAx>
        <c:axId val="464055376"/>
        <c:scaling>
          <c:orientation val="minMax"/>
          <c:max val="0.60000000000000009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</a:rPr>
                  <a:t>τ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(MPa)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l"/>
      <c:layout>
        <c:manualLayout>
          <c:xMode val="edge"/>
          <c:yMode val="edge"/>
          <c:x val="0.20136880970409371"/>
          <c:y val="3.9676181856254739E-2"/>
          <c:w val="0.24821947979767447"/>
          <c:h val="0.1232282407407407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image" Target="../media/image11.emf"/><Relationship Id="rId7" Type="http://schemas.openxmlformats.org/officeDocument/2006/relationships/image" Target="../media/image5.emf"/><Relationship Id="rId2" Type="http://schemas.openxmlformats.org/officeDocument/2006/relationships/image" Target="../media/image10.emf"/><Relationship Id="rId1" Type="http://schemas.openxmlformats.org/officeDocument/2006/relationships/image" Target="../media/image1.emf"/><Relationship Id="rId6" Type="http://schemas.openxmlformats.org/officeDocument/2006/relationships/image" Target="../media/image4.emf"/><Relationship Id="rId5" Type="http://schemas.openxmlformats.org/officeDocument/2006/relationships/image" Target="../media/image3.emf"/><Relationship Id="rId10" Type="http://schemas.openxmlformats.org/officeDocument/2006/relationships/image" Target="../media/image8.emf"/><Relationship Id="rId4" Type="http://schemas.openxmlformats.org/officeDocument/2006/relationships/image" Target="../media/image2.emf"/><Relationship Id="rId9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13" Type="http://schemas.openxmlformats.org/officeDocument/2006/relationships/chart" Target="../charts/chart32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12" Type="http://schemas.openxmlformats.org/officeDocument/2006/relationships/chart" Target="../charts/chart31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11" Type="http://schemas.openxmlformats.org/officeDocument/2006/relationships/chart" Target="../charts/chart30.xml"/><Relationship Id="rId5" Type="http://schemas.openxmlformats.org/officeDocument/2006/relationships/chart" Target="../charts/chart24.xml"/><Relationship Id="rId10" Type="http://schemas.openxmlformats.org/officeDocument/2006/relationships/chart" Target="../charts/chart29.xml"/><Relationship Id="rId4" Type="http://schemas.openxmlformats.org/officeDocument/2006/relationships/chart" Target="../charts/chart23.xml"/><Relationship Id="rId9" Type="http://schemas.openxmlformats.org/officeDocument/2006/relationships/chart" Target="../charts/chart28.xml"/><Relationship Id="rId1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1.xml"/><Relationship Id="rId13" Type="http://schemas.openxmlformats.org/officeDocument/2006/relationships/chart" Target="../charts/chart46.xml"/><Relationship Id="rId3" Type="http://schemas.openxmlformats.org/officeDocument/2006/relationships/chart" Target="../charts/chart36.xml"/><Relationship Id="rId7" Type="http://schemas.openxmlformats.org/officeDocument/2006/relationships/chart" Target="../charts/chart40.xml"/><Relationship Id="rId12" Type="http://schemas.openxmlformats.org/officeDocument/2006/relationships/chart" Target="../charts/chart45.xml"/><Relationship Id="rId17" Type="http://schemas.openxmlformats.org/officeDocument/2006/relationships/chart" Target="../charts/chart50.xml"/><Relationship Id="rId2" Type="http://schemas.openxmlformats.org/officeDocument/2006/relationships/chart" Target="../charts/chart35.xml"/><Relationship Id="rId16" Type="http://schemas.openxmlformats.org/officeDocument/2006/relationships/chart" Target="../charts/chart49.xml"/><Relationship Id="rId1" Type="http://schemas.openxmlformats.org/officeDocument/2006/relationships/chart" Target="../charts/chart34.xml"/><Relationship Id="rId6" Type="http://schemas.openxmlformats.org/officeDocument/2006/relationships/chart" Target="../charts/chart39.xml"/><Relationship Id="rId11" Type="http://schemas.openxmlformats.org/officeDocument/2006/relationships/chart" Target="../charts/chart44.xml"/><Relationship Id="rId5" Type="http://schemas.openxmlformats.org/officeDocument/2006/relationships/chart" Target="../charts/chart38.xml"/><Relationship Id="rId15" Type="http://schemas.openxmlformats.org/officeDocument/2006/relationships/chart" Target="../charts/chart48.xml"/><Relationship Id="rId10" Type="http://schemas.openxmlformats.org/officeDocument/2006/relationships/chart" Target="../charts/chart43.xml"/><Relationship Id="rId4" Type="http://schemas.openxmlformats.org/officeDocument/2006/relationships/chart" Target="../charts/chart37.xml"/><Relationship Id="rId9" Type="http://schemas.openxmlformats.org/officeDocument/2006/relationships/chart" Target="../charts/chart42.xml"/><Relationship Id="rId14" Type="http://schemas.openxmlformats.org/officeDocument/2006/relationships/chart" Target="../charts/chart4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773208</xdr:colOff>
      <xdr:row>1</xdr:row>
      <xdr:rowOff>38100</xdr:rowOff>
    </xdr:from>
    <xdr:to>
      <xdr:col>23</xdr:col>
      <xdr:colOff>187700</xdr:colOff>
      <xdr:row>10</xdr:row>
      <xdr:rowOff>227479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2460599-31C7-4190-93B0-6D4D68743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8658" y="133350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15</xdr:col>
      <xdr:colOff>704850</xdr:colOff>
      <xdr:row>117</xdr:row>
      <xdr:rowOff>157163</xdr:rowOff>
    </xdr:from>
    <xdr:ext cx="1339790" cy="852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88E8D4C9-2233-4F02-BEA2-EFD97A89029F}"/>
                </a:ext>
              </a:extLst>
            </xdr:cNvPr>
            <xdr:cNvSpPr txBox="1"/>
          </xdr:nvSpPr>
          <xdr:spPr>
            <a:xfrm>
              <a:off x="11582400" y="40038338"/>
              <a:ext cx="1339790" cy="852488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  <a:p>
              <a:endParaRPr lang="it-IT" sz="1100"/>
            </a:p>
            <a:p>
              <a:endParaRPr lang="it-IT" sz="1100"/>
            </a:p>
            <a:p>
              <a:pPr algn="ctr"/>
              <a:r>
                <a:rPr lang="it-IT" sz="1100">
                  <a:solidFill>
                    <a:srgbClr val="FF0000"/>
                  </a:solidFill>
                </a:rPr>
                <a:t>Per una beam</a:t>
              </a:r>
            </a:p>
          </xdr:txBody>
        </xdr:sp>
      </mc:Choice>
      <mc:Fallback xmlns="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88E8D4C9-2233-4F02-BEA2-EFD97A89029F}"/>
                </a:ext>
              </a:extLst>
            </xdr:cNvPr>
            <xdr:cNvSpPr txBox="1"/>
          </xdr:nvSpPr>
          <xdr:spPr>
            <a:xfrm>
              <a:off x="11582400" y="40038338"/>
              <a:ext cx="1339790" cy="852488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  <a:p>
              <a:endParaRPr lang="it-IT" sz="1100"/>
            </a:p>
            <a:p>
              <a:endParaRPr lang="it-IT" sz="1100"/>
            </a:p>
            <a:p>
              <a:pPr algn="ctr"/>
              <a:r>
                <a:rPr lang="it-IT" sz="1100">
                  <a:solidFill>
                    <a:srgbClr val="FF0000"/>
                  </a:solidFill>
                </a:rPr>
                <a:t>Per una beam</a:t>
              </a:r>
            </a:p>
          </xdr:txBody>
        </xdr:sp>
      </mc:Fallback>
    </mc:AlternateContent>
    <xdr:clientData/>
  </xdr:oneCellAnchor>
  <xdr:oneCellAnchor>
    <xdr:from>
      <xdr:col>13</xdr:col>
      <xdr:colOff>504825</xdr:colOff>
      <xdr:row>93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0345B1A7-654A-4130-A606-128155DCE7DB}"/>
                </a:ext>
              </a:extLst>
            </xdr:cNvPr>
            <xdr:cNvSpPr txBox="1"/>
          </xdr:nvSpPr>
          <xdr:spPr>
            <a:xfrm>
              <a:off x="9820275" y="290607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0345B1A7-654A-4130-A606-128155DCE7DB}"/>
                </a:ext>
              </a:extLst>
            </xdr:cNvPr>
            <xdr:cNvSpPr txBox="1"/>
          </xdr:nvSpPr>
          <xdr:spPr>
            <a:xfrm>
              <a:off x="9820275" y="290607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15</xdr:col>
      <xdr:colOff>485361</xdr:colOff>
      <xdr:row>11</xdr:row>
      <xdr:rowOff>14496</xdr:rowOff>
    </xdr:from>
    <xdr:to>
      <xdr:col>22</xdr:col>
      <xdr:colOff>190086</xdr:colOff>
      <xdr:row>21</xdr:row>
      <xdr:rowOff>152400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F15C6700-3269-4F0C-97BF-1E311305BBF3}"/>
            </a:ext>
          </a:extLst>
        </xdr:cNvPr>
        <xdr:cNvGrpSpPr/>
      </xdr:nvGrpSpPr>
      <xdr:grpSpPr>
        <a:xfrm>
          <a:off x="11377479" y="2132408"/>
          <a:ext cx="4119842" cy="2210992"/>
          <a:chOff x="9486900" y="5495925"/>
          <a:chExt cx="3971925" cy="2276475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84C77F0D-565D-486A-9340-48E853EEEA9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61416695-0961-4A52-A35C-A07407AC627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13</xdr:col>
      <xdr:colOff>518077</xdr:colOff>
      <xdr:row>90</xdr:row>
      <xdr:rowOff>25262</xdr:rowOff>
    </xdr:from>
    <xdr:to>
      <xdr:col>19</xdr:col>
      <xdr:colOff>260901</xdr:colOff>
      <xdr:row>93</xdr:row>
      <xdr:rowOff>110987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41BF92AF-7B96-4F5A-8A94-DAAB5D0F7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3527" y="28352612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714374</xdr:colOff>
      <xdr:row>96</xdr:row>
      <xdr:rowOff>0</xdr:rowOff>
    </xdr:from>
    <xdr:ext cx="5705475" cy="5715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asellaDiTesto 12">
              <a:extLst>
                <a:ext uri="{FF2B5EF4-FFF2-40B4-BE49-F238E27FC236}">
                  <a16:creationId xmlns:a16="http://schemas.microsoft.com/office/drawing/2014/main" id="{80E5E8C0-3475-42F2-A576-CDBCC5B89B5D}"/>
                </a:ext>
              </a:extLst>
            </xdr:cNvPr>
            <xdr:cNvSpPr txBox="1"/>
          </xdr:nvSpPr>
          <xdr:spPr>
            <a:xfrm>
              <a:off x="2857499" y="29470350"/>
              <a:ext cx="5705475" cy="5715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4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𝑒𝑞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h</m:t>
                            </m:r>
                          </m:e>
                          <m:sup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12</m:t>
                        </m:r>
                        <m:d>
                          <m:d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sSup>
                              <m:sSupPr>
                                <m:ctrlPr>
                                  <a:rPr lang="it-IT" sz="14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l-GR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𝜈</m:t>
                                </m:r>
                              </m:e>
                              <m:sup>
                                <m:r>
                                  <a:rPr lang="it-IT" sz="14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den>
                    </m:f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𝑡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6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12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</m:oMath>
                </m:oMathPara>
              </a14:m>
              <a:endParaRPr lang="it-IT" sz="1400" i="1">
                <a:latin typeface="+mn-lt"/>
              </a:endParaRPr>
            </a:p>
          </xdr:txBody>
        </xdr:sp>
      </mc:Choice>
      <mc:Fallback xmlns="">
        <xdr:sp macro="" textlink="">
          <xdr:nvSpPr>
            <xdr:cNvPr id="13" name="CasellaDiTesto 12">
              <a:extLst>
                <a:ext uri="{FF2B5EF4-FFF2-40B4-BE49-F238E27FC236}">
                  <a16:creationId xmlns:a16="http://schemas.microsoft.com/office/drawing/2014/main" id="{80E5E8C0-3475-42F2-A576-CDBCC5B89B5D}"/>
                </a:ext>
              </a:extLst>
            </xdr:cNvPr>
            <xdr:cNvSpPr txBox="1"/>
          </xdr:nvSpPr>
          <xdr:spPr>
            <a:xfrm>
              <a:off x="2857499" y="29470350"/>
              <a:ext cx="5705475" cy="5715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𝐷=𝐸_𝑒𝑞  ℎ^3/12(1−</a:t>
              </a:r>
              <a:r>
                <a:rPr lang="el-GR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𝜈</a:t>
              </a:r>
              <a:r>
                <a:rPr lang="it-IT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</a:t>
              </a:r>
              <a:r>
                <a:rPr lang="it-IT" sz="1400" b="0" i="0">
                  <a:latin typeface="Cambria Math" panose="02040503050406030204" pitchFamily="18" charset="0"/>
                </a:rPr>
                <a:t>2 ) =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𝐸_𝑓  𝑡^3/6(1−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_𝑓^2 ) +𝐸_𝑓  (𝑡𝑑^2)/2(1−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_𝑓^2 ) +𝐸_𝑐  𝑐^3/12(1−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_𝑐^2 ) </a:t>
              </a:r>
              <a:endParaRPr lang="it-IT" sz="1400" i="1">
                <a:latin typeface="+mn-lt"/>
              </a:endParaRPr>
            </a:p>
          </xdr:txBody>
        </xdr:sp>
      </mc:Fallback>
    </mc:AlternateContent>
    <xdr:clientData/>
  </xdr:oneCellAnchor>
  <xdr:twoCellAnchor editAs="oneCell">
    <xdr:from>
      <xdr:col>2</xdr:col>
      <xdr:colOff>0</xdr:colOff>
      <xdr:row>74</xdr:row>
      <xdr:rowOff>0</xdr:rowOff>
    </xdr:from>
    <xdr:to>
      <xdr:col>3</xdr:col>
      <xdr:colOff>37685</xdr:colOff>
      <xdr:row>76</xdr:row>
      <xdr:rowOff>66675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E0521C3B-9BAB-42F3-9B15-012398E77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0402550"/>
          <a:ext cx="752060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3</xdr:col>
      <xdr:colOff>606701</xdr:colOff>
      <xdr:row>81</xdr:row>
      <xdr:rowOff>76200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BB7FDE06-BA63-4B80-841E-1556D2EC2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1355050"/>
          <a:ext cx="1321076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4</xdr:col>
      <xdr:colOff>662193</xdr:colOff>
      <xdr:row>91</xdr:row>
      <xdr:rowOff>28575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5CE72AD7-847D-483F-B33E-C6A7EAC5C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8136850"/>
          <a:ext cx="2090943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454300</xdr:colOff>
      <xdr:row>86</xdr:row>
      <xdr:rowOff>38100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63B6BDCB-86B2-4307-BCB8-46AF892F0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745950"/>
          <a:ext cx="1168675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15</xdr:col>
      <xdr:colOff>228599</xdr:colOff>
      <xdr:row>123</xdr:row>
      <xdr:rowOff>66674</xdr:rowOff>
    </xdr:from>
    <xdr:ext cx="2047875" cy="27051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CasellaDiTesto 17">
              <a:extLst>
                <a:ext uri="{FF2B5EF4-FFF2-40B4-BE49-F238E27FC236}">
                  <a16:creationId xmlns:a16="http://schemas.microsoft.com/office/drawing/2014/main" id="{2CE9B70A-EE58-447C-93FC-3F0CC1A170FA}"/>
                </a:ext>
              </a:extLst>
            </xdr:cNvPr>
            <xdr:cNvSpPr txBox="1"/>
          </xdr:nvSpPr>
          <xdr:spPr>
            <a:xfrm>
              <a:off x="11106149" y="24060149"/>
              <a:ext cx="2047875" cy="2705101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𝑞</m:t>
                        </m:r>
                        <m:sSup>
                          <m:sSup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e>
                          <m:sup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it-IT" sz="1200"/>
            </a:p>
            <a:p>
              <a:endParaRPr lang="it-IT" sz="1000"/>
            </a:p>
            <a:p>
              <a:pPr algn="l"/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</a:t>
              </a:r>
              <a:r>
                <a:rPr lang="el-GR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α</a:t>
              </a:r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= f(b/a;tipo</a:t>
              </a:r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di carico)</a:t>
              </a:r>
            </a:p>
            <a:p>
              <a:pPr algn="l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Dove: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b = lato lungo del pannello;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a</a:t>
              </a:r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lato corto del pannello.</a:t>
              </a:r>
            </a:p>
            <a:p>
              <a:pPr algn="ctr"/>
              <a:endParaRPr lang="it-IT" sz="5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Con carico distribuito q e </a:t>
              </a: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b=a=L --&gt; b/a=1:</a:t>
              </a:r>
            </a:p>
            <a:p>
              <a:pPr algn="l"/>
              <a:endParaRPr lang="it-IT" sz="10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l-GR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</a:t>
              </a:r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= 0,00406</a:t>
              </a:r>
            </a:p>
            <a:p>
              <a:pPr algn="ctr"/>
              <a:endParaRPr lang="it-IT" sz="5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𝑤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𝑚𝑎𝑥</m:t>
                        </m:r>
                      </m:sub>
                    </m:sSub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𝛼</m:t>
                    </m:r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𝑞</m:t>
                        </m:r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it-IT" sz="140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8" name="CasellaDiTesto 17">
              <a:extLst>
                <a:ext uri="{FF2B5EF4-FFF2-40B4-BE49-F238E27FC236}">
                  <a16:creationId xmlns:a16="http://schemas.microsoft.com/office/drawing/2014/main" id="{2CE9B70A-EE58-447C-93FC-3F0CC1A170FA}"/>
                </a:ext>
              </a:extLst>
            </xdr:cNvPr>
            <xdr:cNvSpPr txBox="1"/>
          </xdr:nvSpPr>
          <xdr:spPr>
            <a:xfrm>
              <a:off x="11106149" y="24060149"/>
              <a:ext cx="2047875" cy="2705101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200" b="0" i="0">
                  <a:latin typeface="Cambria Math" panose="02040503050406030204" pitchFamily="18" charset="0"/>
                </a:rPr>
                <a:t>𝑤_𝑚𝑎𝑥=</a:t>
              </a:r>
              <a:r>
                <a:rPr lang="it-IT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it-IT" sz="1200" b="0" i="0">
                  <a:latin typeface="Cambria Math" panose="02040503050406030204" pitchFamily="18" charset="0"/>
                </a:rPr>
                <a:t> (𝑞𝑎^4)/𝐷</a:t>
              </a:r>
              <a:endParaRPr lang="it-IT" sz="1200"/>
            </a:p>
            <a:p>
              <a:endParaRPr lang="it-IT" sz="1000"/>
            </a:p>
            <a:p>
              <a:pPr algn="l"/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</a:t>
              </a:r>
              <a:r>
                <a:rPr lang="el-GR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α</a:t>
              </a:r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= f(b/a;tipo</a:t>
              </a:r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di carico)</a:t>
              </a:r>
            </a:p>
            <a:p>
              <a:pPr algn="l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Dove: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b = lato lungo del pannello;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a</a:t>
              </a:r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lato corto del pannello.</a:t>
              </a:r>
            </a:p>
            <a:p>
              <a:pPr algn="ctr"/>
              <a:endParaRPr lang="it-IT" sz="5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Con carico distribuito q e </a:t>
              </a: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b=a=L --&gt; b/a=1:</a:t>
              </a:r>
            </a:p>
            <a:p>
              <a:pPr algn="l"/>
              <a:endParaRPr lang="it-IT" sz="10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l-GR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</a:t>
              </a:r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= 0,00406</a:t>
              </a:r>
            </a:p>
            <a:p>
              <a:pPr algn="ctr"/>
              <a:endParaRPr lang="it-IT" sz="5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𝑤_𝑚𝑎𝑥=𝛼 (𝑞𝐿^4)/𝐷</a:t>
              </a:r>
              <a:endParaRPr lang="it-IT" sz="140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twoCellAnchor>
    <xdr:from>
      <xdr:col>12</xdr:col>
      <xdr:colOff>133350</xdr:colOff>
      <xdr:row>5</xdr:row>
      <xdr:rowOff>66675</xdr:rowOff>
    </xdr:from>
    <xdr:to>
      <xdr:col>13</xdr:col>
      <xdr:colOff>400050</xdr:colOff>
      <xdr:row>14</xdr:row>
      <xdr:rowOff>9525</xdr:rowOff>
    </xdr:to>
    <xdr:sp macro="" textlink="">
      <xdr:nvSpPr>
        <xdr:cNvPr id="19" name="Rettangolo 18">
          <a:extLst>
            <a:ext uri="{FF2B5EF4-FFF2-40B4-BE49-F238E27FC236}">
              <a16:creationId xmlns:a16="http://schemas.microsoft.com/office/drawing/2014/main" id="{87679DB9-98C4-498E-A03C-D596BF09B933}"/>
            </a:ext>
          </a:extLst>
        </xdr:cNvPr>
        <xdr:cNvSpPr/>
      </xdr:nvSpPr>
      <xdr:spPr>
        <a:xfrm>
          <a:off x="8667750" y="971550"/>
          <a:ext cx="1047750" cy="1771650"/>
        </a:xfrm>
        <a:prstGeom prst="rect">
          <a:avLst/>
        </a:prstGeom>
        <a:solidFill>
          <a:sysClr val="window" lastClr="FFFFFF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0" rIns="72000" bIns="0" rtlCol="0" anchor="t"/>
        <a:lstStyle/>
        <a:p>
          <a:pPr algn="ctr"/>
          <a:endParaRPr lang="it-IT" sz="1100">
            <a:solidFill>
              <a:sysClr val="windowText" lastClr="000000"/>
            </a:solidFill>
          </a:endParaRPr>
        </a:p>
        <a:p>
          <a:pPr algn="ctr"/>
          <a:endParaRPr lang="it-IT" sz="1100">
            <a:solidFill>
              <a:sysClr val="windowText" lastClr="000000"/>
            </a:solidFill>
          </a:endParaRPr>
        </a:p>
        <a:p>
          <a:pPr algn="ctr"/>
          <a:endParaRPr lang="it-IT" sz="1100">
            <a:solidFill>
              <a:sysClr val="windowText" lastClr="000000"/>
            </a:solidFill>
          </a:endParaRPr>
        </a:p>
        <a:p>
          <a:pPr algn="ctr"/>
          <a:endParaRPr lang="it-IT" sz="1100">
            <a:solidFill>
              <a:sysClr val="windowText" lastClr="000000"/>
            </a:solidFill>
          </a:endParaRPr>
        </a:p>
        <a:p>
          <a:pPr algn="ctr"/>
          <a:endParaRPr lang="it-IT" sz="1100">
            <a:solidFill>
              <a:sysClr val="windowText" lastClr="000000"/>
            </a:solidFill>
          </a:endParaRPr>
        </a:p>
        <a:p>
          <a:pPr algn="r"/>
          <a:r>
            <a:rPr lang="it-IT" sz="1400">
              <a:solidFill>
                <a:sysClr val="windowText" lastClr="000000"/>
              </a:solidFill>
            </a:rPr>
            <a:t>h</a:t>
          </a:r>
          <a:r>
            <a:rPr lang="it-IT" sz="1400" baseline="-25000">
              <a:solidFill>
                <a:sysClr val="windowText" lastClr="000000"/>
              </a:solidFill>
            </a:rPr>
            <a:t>g</a:t>
          </a:r>
        </a:p>
        <a:p>
          <a:pPr algn="ctr"/>
          <a:endParaRPr lang="it-IT" sz="1400">
            <a:solidFill>
              <a:sysClr val="windowText" lastClr="000000"/>
            </a:solidFill>
          </a:endParaRPr>
        </a:p>
        <a:p>
          <a:pPr algn="ctr"/>
          <a:endParaRPr lang="it-IT" sz="1400">
            <a:solidFill>
              <a:sysClr val="windowText" lastClr="000000"/>
            </a:solidFill>
          </a:endParaRPr>
        </a:p>
        <a:p>
          <a:pPr algn="ctr"/>
          <a:r>
            <a:rPr lang="it-IT" sz="1400">
              <a:solidFill>
                <a:sysClr val="windowText" lastClr="000000"/>
              </a:solidFill>
            </a:rPr>
            <a:t>b</a:t>
          </a:r>
          <a:r>
            <a:rPr lang="it-IT" sz="1400" baseline="-25000">
              <a:solidFill>
                <a:sysClr val="windowText" lastClr="000000"/>
              </a:solidFill>
            </a:rPr>
            <a:t>g</a:t>
          </a:r>
        </a:p>
      </xdr:txBody>
    </xdr:sp>
    <xdr:clientData/>
  </xdr:twoCellAnchor>
  <xdr:oneCellAnchor>
    <xdr:from>
      <xdr:col>12</xdr:col>
      <xdr:colOff>0</xdr:colOff>
      <xdr:row>131</xdr:row>
      <xdr:rowOff>0</xdr:rowOff>
    </xdr:from>
    <xdr:ext cx="923778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3AE93682-30A6-4899-B5B1-47BC046731EB}"/>
                </a:ext>
              </a:extLst>
            </xdr:cNvPr>
            <xdr:cNvSpPr txBox="1"/>
          </xdr:nvSpPr>
          <xdr:spPr>
            <a:xfrm>
              <a:off x="8534400" y="25593675"/>
              <a:ext cx="923778" cy="4033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𝑙𝑖𝑚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250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3AE93682-30A6-4899-B5B1-47BC046731EB}"/>
                </a:ext>
              </a:extLst>
            </xdr:cNvPr>
            <xdr:cNvSpPr txBox="1"/>
          </xdr:nvSpPr>
          <xdr:spPr>
            <a:xfrm>
              <a:off x="8534400" y="25593675"/>
              <a:ext cx="923778" cy="4033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𝑤_𝑙𝑖𝑚=</a:t>
              </a:r>
              <a:r>
                <a:rPr lang="it-IT" sz="1400" b="0" i="0">
                  <a:latin typeface="Cambria Math" panose="02040503050406030204" pitchFamily="18" charset="0"/>
                </a:rPr>
                <a:t>𝐿/250</a:t>
              </a:r>
              <a:endParaRPr lang="it-IT" sz="1400"/>
            </a:p>
          </xdr:txBody>
        </xdr:sp>
      </mc:Fallback>
    </mc:AlternateContent>
    <xdr:clientData/>
  </xdr:oneCellAnchor>
  <xdr:twoCellAnchor editAs="oneCell">
    <xdr:from>
      <xdr:col>15</xdr:col>
      <xdr:colOff>171450</xdr:colOff>
      <xdr:row>151</xdr:row>
      <xdr:rowOff>114300</xdr:rowOff>
    </xdr:from>
    <xdr:to>
      <xdr:col>19</xdr:col>
      <xdr:colOff>314709</xdr:colOff>
      <xdr:row>164</xdr:row>
      <xdr:rowOff>76540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0142D3F-F9FC-4103-A3AD-1D355B2A5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9000" y="29746575"/>
          <a:ext cx="2753109" cy="2438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773208</xdr:colOff>
      <xdr:row>10</xdr:row>
      <xdr:rowOff>47625</xdr:rowOff>
    </xdr:from>
    <xdr:to>
      <xdr:col>24</xdr:col>
      <xdr:colOff>359150</xdr:colOff>
      <xdr:row>19</xdr:row>
      <xdr:rowOff>170329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57F31CA-ABB2-45CC-8FA4-AC71BD2C5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9708" y="1933575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577105</xdr:colOff>
      <xdr:row>39</xdr:row>
      <xdr:rowOff>33348</xdr:rowOff>
    </xdr:from>
    <xdr:to>
      <xdr:col>14</xdr:col>
      <xdr:colOff>653305</xdr:colOff>
      <xdr:row>56</xdr:row>
      <xdr:rowOff>128598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3448CC4-EEED-43DD-BA8B-A2B64A720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7130" y="6072198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666071</xdr:colOff>
      <xdr:row>45</xdr:row>
      <xdr:rowOff>190499</xdr:rowOff>
    </xdr:from>
    <xdr:to>
      <xdr:col>17</xdr:col>
      <xdr:colOff>232963</xdr:colOff>
      <xdr:row>50</xdr:row>
      <xdr:rowOff>178708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9B409FCE-0B4E-464A-8D1E-0870B24E91F2}"/>
            </a:ext>
          </a:extLst>
        </xdr:cNvPr>
        <xdr:cNvGrpSpPr/>
      </xdr:nvGrpSpPr>
      <xdr:grpSpPr>
        <a:xfrm>
          <a:off x="6040892" y="9198428"/>
          <a:ext cx="6465714" cy="1063173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F3939D33-F722-4190-8524-0ABBB67C6F6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6EBED42C-9B40-4B9B-A38B-074E13A1824B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oneCellAnchor>
    <xdr:from>
      <xdr:col>15</xdr:col>
      <xdr:colOff>704850</xdr:colOff>
      <xdr:row>199</xdr:row>
      <xdr:rowOff>157163</xdr:rowOff>
    </xdr:from>
    <xdr:ext cx="1339790" cy="852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11582400" y="43600688"/>
              <a:ext cx="1339790" cy="852488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  <a:p>
              <a:endParaRPr lang="it-IT" sz="1100"/>
            </a:p>
            <a:p>
              <a:endParaRPr lang="it-IT" sz="1100"/>
            </a:p>
            <a:p>
              <a:pPr algn="ctr"/>
              <a:r>
                <a:rPr lang="it-IT" sz="1100">
                  <a:solidFill>
                    <a:srgbClr val="FF0000"/>
                  </a:solidFill>
                </a:rPr>
                <a:t>Per una beam</a:t>
              </a:r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11582400" y="43600688"/>
              <a:ext cx="1339790" cy="852488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  <a:p>
              <a:pPr/>
              <a:endParaRPr lang="it-IT" sz="1100"/>
            </a:p>
            <a:p>
              <a:pPr/>
              <a:endParaRPr lang="it-IT" sz="1100"/>
            </a:p>
            <a:p>
              <a:pPr algn="ctr"/>
              <a:r>
                <a:rPr lang="it-IT" sz="1100">
                  <a:solidFill>
                    <a:srgbClr val="FF0000"/>
                  </a:solidFill>
                </a:rPr>
                <a:t>Per una beam</a:t>
              </a:r>
            </a:p>
          </xdr:txBody>
        </xdr:sp>
      </mc:Fallback>
    </mc:AlternateContent>
    <xdr:clientData/>
  </xdr:oneCellAnchor>
  <xdr:oneCellAnchor>
    <xdr:from>
      <xdr:col>13</xdr:col>
      <xdr:colOff>504825</xdr:colOff>
      <xdr:row>143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20</xdr:col>
      <xdr:colOff>47211</xdr:colOff>
      <xdr:row>17</xdr:row>
      <xdr:rowOff>176421</xdr:rowOff>
    </xdr:from>
    <xdr:to>
      <xdr:col>26</xdr:col>
      <xdr:colOff>532986</xdr:colOff>
      <xdr:row>38</xdr:row>
      <xdr:rowOff>100221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AD97C701-171B-4ECD-9084-8FDDCC94359D}"/>
            </a:ext>
          </a:extLst>
        </xdr:cNvPr>
        <xdr:cNvGrpSpPr/>
      </xdr:nvGrpSpPr>
      <xdr:grpSpPr>
        <a:xfrm>
          <a:off x="14157818" y="3523778"/>
          <a:ext cx="4159704" cy="421005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9854C24C-D946-4863-BC48-CF8227BFDC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48CAC529-7F89-4A3C-A230-5F490E30E8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13</xdr:col>
      <xdr:colOff>518077</xdr:colOff>
      <xdr:row>140</xdr:row>
      <xdr:rowOff>25262</xdr:rowOff>
    </xdr:from>
    <xdr:to>
      <xdr:col>19</xdr:col>
      <xdr:colOff>260901</xdr:colOff>
      <xdr:row>143</xdr:row>
      <xdr:rowOff>110987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E8B374C7-3162-49F3-A7D9-90C6005FB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3527" y="24237812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714374</xdr:colOff>
      <xdr:row>146</xdr:row>
      <xdr:rowOff>0</xdr:rowOff>
    </xdr:from>
    <xdr:ext cx="5705475" cy="5715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asellaDiTesto 25">
              <a:extLst>
                <a:ext uri="{FF2B5EF4-FFF2-40B4-BE49-F238E27FC236}">
                  <a16:creationId xmlns:a16="http://schemas.microsoft.com/office/drawing/2014/main" id="{FF107851-FBAB-41AA-A40E-05EC16A7D267}"/>
                </a:ext>
              </a:extLst>
            </xdr:cNvPr>
            <xdr:cNvSpPr txBox="1"/>
          </xdr:nvSpPr>
          <xdr:spPr>
            <a:xfrm>
              <a:off x="2857499" y="25355550"/>
              <a:ext cx="5705475" cy="5715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4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𝑒𝑞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h</m:t>
                            </m:r>
                          </m:e>
                          <m:sup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12</m:t>
                        </m:r>
                        <m:d>
                          <m:d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sSup>
                              <m:sSupPr>
                                <m:ctrlPr>
                                  <a:rPr lang="it-IT" sz="14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l-GR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𝜈</m:t>
                                </m:r>
                              </m:e>
                              <m:sup>
                                <m:r>
                                  <a:rPr lang="it-IT" sz="14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den>
                    </m:f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𝑡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6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12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</m:oMath>
                </m:oMathPara>
              </a14:m>
              <a:endParaRPr lang="it-IT" sz="1400" i="1">
                <a:latin typeface="+mn-lt"/>
              </a:endParaRPr>
            </a:p>
          </xdr:txBody>
        </xdr:sp>
      </mc:Choice>
      <mc:Fallback xmlns="">
        <xdr:sp macro="" textlink="">
          <xdr:nvSpPr>
            <xdr:cNvPr id="26" name="CasellaDiTesto 25">
              <a:extLst>
                <a:ext uri="{FF2B5EF4-FFF2-40B4-BE49-F238E27FC236}">
                  <a16:creationId xmlns:a16="http://schemas.microsoft.com/office/drawing/2014/main" id="{FF107851-FBAB-41AA-A40E-05EC16A7D267}"/>
                </a:ext>
              </a:extLst>
            </xdr:cNvPr>
            <xdr:cNvSpPr txBox="1"/>
          </xdr:nvSpPr>
          <xdr:spPr>
            <a:xfrm>
              <a:off x="2857499" y="25355550"/>
              <a:ext cx="5705475" cy="5715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𝐷=𝐸_𝑒𝑞  ℎ^3/12(1−</a:t>
              </a:r>
              <a:r>
                <a:rPr lang="el-GR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𝜈</a:t>
              </a:r>
              <a:r>
                <a:rPr lang="it-IT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</a:t>
              </a:r>
              <a:r>
                <a:rPr lang="it-IT" sz="1400" b="0" i="0">
                  <a:latin typeface="Cambria Math" panose="02040503050406030204" pitchFamily="18" charset="0"/>
                </a:rPr>
                <a:t>2 ) =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𝐸_𝑓  𝑡^3/6(1−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_𝑓^2 ) +𝐸_𝑓  (𝑡𝑑^2)/2(1−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_𝑓^2 ) +𝐸_𝑐  𝑐^3/12(1−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_𝑐^2 ) </a:t>
              </a:r>
              <a:endParaRPr lang="it-IT" sz="1400" i="1">
                <a:latin typeface="+mn-lt"/>
              </a:endParaRPr>
            </a:p>
          </xdr:txBody>
        </xdr:sp>
      </mc:Fallback>
    </mc:AlternateContent>
    <xdr:clientData/>
  </xdr:oneCellAnchor>
  <xdr:twoCellAnchor editAs="oneCell">
    <xdr:from>
      <xdr:col>2</xdr:col>
      <xdr:colOff>0</xdr:colOff>
      <xdr:row>100</xdr:row>
      <xdr:rowOff>0</xdr:rowOff>
    </xdr:from>
    <xdr:to>
      <xdr:col>3</xdr:col>
      <xdr:colOff>37685</xdr:colOff>
      <xdr:row>102</xdr:row>
      <xdr:rowOff>66675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400437CD-58C4-4CB2-B868-234C52C5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16855109"/>
          <a:ext cx="749989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3</xdr:col>
      <xdr:colOff>606701</xdr:colOff>
      <xdr:row>107</xdr:row>
      <xdr:rowOff>76200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2EF273CB-F51E-4892-B61A-0E3F22EE8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17807609"/>
          <a:ext cx="1319005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4</xdr:col>
      <xdr:colOff>662193</xdr:colOff>
      <xdr:row>141</xdr:row>
      <xdr:rowOff>28575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4CBC790D-107A-4A58-AFF2-1993BC0F4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23390087"/>
          <a:ext cx="2086802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3</xdr:col>
      <xdr:colOff>454300</xdr:colOff>
      <xdr:row>124</xdr:row>
      <xdr:rowOff>38100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79D95204-7BD0-4368-852C-64F1740FC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20598848"/>
          <a:ext cx="116660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504824</xdr:colOff>
      <xdr:row>203</xdr:row>
      <xdr:rowOff>9524</xdr:rowOff>
    </xdr:from>
    <xdr:ext cx="2047875" cy="27051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0414C8A9-1681-45A7-A3B3-CA858024C499}"/>
                </a:ext>
              </a:extLst>
            </xdr:cNvPr>
            <xdr:cNvSpPr txBox="1"/>
          </xdr:nvSpPr>
          <xdr:spPr>
            <a:xfrm>
              <a:off x="9039224" y="44215049"/>
              <a:ext cx="2047875" cy="2705101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𝑞</m:t>
                        </m:r>
                        <m:sSup>
                          <m:sSup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e>
                          <m:sup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it-IT" sz="1200"/>
            </a:p>
            <a:p>
              <a:endParaRPr lang="it-IT" sz="1000"/>
            </a:p>
            <a:p>
              <a:pPr algn="l"/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</a:t>
              </a:r>
              <a:r>
                <a:rPr lang="el-GR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α</a:t>
              </a:r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= f(b/a;tipo</a:t>
              </a:r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di carico)</a:t>
              </a:r>
            </a:p>
            <a:p>
              <a:pPr algn="l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Dove: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b = lato lungo del pannello;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a</a:t>
              </a:r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lato corto del pannello.</a:t>
              </a:r>
            </a:p>
            <a:p>
              <a:pPr algn="ctr"/>
              <a:endParaRPr lang="it-IT" sz="5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Con carico distribuito q e </a:t>
              </a: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b=a=L --&gt; b/a=1:</a:t>
              </a:r>
            </a:p>
            <a:p>
              <a:pPr algn="l"/>
              <a:endParaRPr lang="it-IT" sz="10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l-GR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</a:t>
              </a:r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= 0,00406</a:t>
              </a:r>
            </a:p>
            <a:p>
              <a:pPr algn="ctr"/>
              <a:endParaRPr lang="it-IT" sz="5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𝑤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𝑚𝑎𝑥</m:t>
                        </m:r>
                      </m:sub>
                    </m:sSub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𝛼</m:t>
                    </m:r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𝑞</m:t>
                        </m:r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it-IT" sz="140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0414C8A9-1681-45A7-A3B3-CA858024C499}"/>
                </a:ext>
              </a:extLst>
            </xdr:cNvPr>
            <xdr:cNvSpPr txBox="1"/>
          </xdr:nvSpPr>
          <xdr:spPr>
            <a:xfrm>
              <a:off x="9039224" y="44215049"/>
              <a:ext cx="2047875" cy="2705101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200" b="0" i="0">
                  <a:latin typeface="Cambria Math" panose="02040503050406030204" pitchFamily="18" charset="0"/>
                </a:rPr>
                <a:t>𝑤_𝑚𝑎𝑥=</a:t>
              </a:r>
              <a:r>
                <a:rPr lang="it-IT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it-IT" sz="1200" b="0" i="0">
                  <a:latin typeface="Cambria Math" panose="02040503050406030204" pitchFamily="18" charset="0"/>
                </a:rPr>
                <a:t> (𝑞𝑎^4)/𝐷</a:t>
              </a:r>
              <a:endParaRPr lang="it-IT" sz="1200"/>
            </a:p>
            <a:p>
              <a:pPr/>
              <a:endParaRPr lang="it-IT" sz="1000"/>
            </a:p>
            <a:p>
              <a:pPr algn="l"/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</a:t>
              </a:r>
              <a:r>
                <a:rPr lang="el-GR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α</a:t>
              </a:r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= f(b/a;tipo</a:t>
              </a:r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di carico)</a:t>
              </a:r>
            </a:p>
            <a:p>
              <a:pPr algn="l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Dove: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b = lato lungo del pannello;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a</a:t>
              </a:r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lato corto del pannello.</a:t>
              </a:r>
            </a:p>
            <a:p>
              <a:pPr algn="ctr"/>
              <a:endParaRPr lang="it-IT" sz="5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Con carico distribuito q e </a:t>
              </a: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b=a=L --&gt; b/a=1:</a:t>
              </a:r>
            </a:p>
            <a:p>
              <a:pPr algn="l"/>
              <a:endParaRPr lang="it-IT" sz="10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l-GR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</a:t>
              </a:r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= 0,00406</a:t>
              </a:r>
            </a:p>
            <a:p>
              <a:pPr algn="ctr"/>
              <a:endParaRPr lang="it-IT" sz="5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𝑤_𝑚𝑎𝑥=𝛼 (𝑞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^4)/𝐷</a:t>
              </a:r>
              <a:endParaRPr lang="it-IT" sz="140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485774</xdr:colOff>
      <xdr:row>9</xdr:row>
      <xdr:rowOff>57151</xdr:rowOff>
    </xdr:from>
    <xdr:ext cx="2247901" cy="6286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D09B6A1E-5F8A-45B0-A05B-8656295BEF7A}"/>
                </a:ext>
              </a:extLst>
            </xdr:cNvPr>
            <xdr:cNvSpPr txBox="1"/>
          </xdr:nvSpPr>
          <xdr:spPr>
            <a:xfrm>
              <a:off x="2419349" y="1343026"/>
              <a:ext cx="2247901" cy="62865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1600" b="0" i="1">
                            <a:latin typeface="Cambria Math" panose="02040503050406030204" pitchFamily="18" charset="0"/>
                          </a:rPr>
                          <m:t>𝐸</m:t>
                        </m:r>
                      </m:sub>
                    </m:sSub>
                    <m:r>
                      <a:rPr lang="it-IT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𝜋</m:t>
                            </m:r>
                          </m:e>
                          <m:sup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𝐸</m:t>
                            </m:r>
                          </m:e>
                          <m:sub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  <m:r>
                          <a:rPr lang="it-IT" sz="1600" b="0" i="1">
                            <a:latin typeface="Cambria Math" panose="02040503050406030204" pitchFamily="18" charset="0"/>
                          </a:rPr>
                          <m:t>𝐽</m:t>
                        </m:r>
                      </m:num>
                      <m:den>
                        <m:sSubSup>
                          <m:sSubSup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𝑙</m:t>
                            </m:r>
                          </m:e>
                          <m:sub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0</m:t>
                            </m:r>
                          </m:sub>
                          <m:sup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</m:den>
                    </m:f>
                    <m:r>
                      <a:rPr lang="it-IT" sz="16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𝜋</m:t>
                            </m:r>
                          </m:e>
                          <m:sup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𝐸</m:t>
                            </m:r>
                          </m:e>
                          <m:sub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sub>
                        </m:sSub>
                      </m:num>
                      <m:den>
                        <m:sSubSup>
                          <m:sSubSupPr>
                            <m:ctrlP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𝑙</m:t>
                            </m:r>
                          </m:e>
                          <m:sub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</m:sub>
                          <m:sup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bSup>
                      </m:den>
                    </m:f>
                    <m:f>
                      <m:fPr>
                        <m:ctrlP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𝜋</m:t>
                        </m:r>
                        <m:sSup>
                          <m:sSupPr>
                            <m:ctrlP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𝑑</m:t>
                            </m:r>
                          </m:e>
                          <m:sup>
                            <m:r>
                              <a:rPr lang="it-IT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64</m:t>
                        </m:r>
                      </m:den>
                    </m:f>
                  </m:oMath>
                </m:oMathPara>
              </a14:m>
              <a:endParaRPr lang="it-IT" sz="16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D09B6A1E-5F8A-45B0-A05B-8656295BEF7A}"/>
                </a:ext>
              </a:extLst>
            </xdr:cNvPr>
            <xdr:cNvSpPr txBox="1"/>
          </xdr:nvSpPr>
          <xdr:spPr>
            <a:xfrm>
              <a:off x="2419349" y="1343026"/>
              <a:ext cx="2247901" cy="62865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it-IT" sz="1600" b="0" i="0">
                  <a:latin typeface="Cambria Math" panose="02040503050406030204" pitchFamily="18" charset="0"/>
                </a:rPr>
                <a:t>𝑃_𝐸=(</a:t>
              </a:r>
              <a:r>
                <a:rPr lang="it-IT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</a:t>
              </a:r>
              <a:r>
                <a:rPr lang="it-IT" sz="1600" b="0" i="0">
                  <a:latin typeface="Cambria Math" panose="02040503050406030204" pitchFamily="18" charset="0"/>
                </a:rPr>
                <a:t>2 𝐸_𝑐 𝐽)/(𝑙_0^2 )= 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(𝜋^2 𝐸_𝑐)/(𝑙_0^2 )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𝜋𝑑^4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)/64</a:t>
              </a:r>
              <a:endParaRPr lang="it-IT" sz="1600"/>
            </a:p>
          </xdr:txBody>
        </xdr:sp>
      </mc:Fallback>
    </mc:AlternateContent>
    <xdr:clientData/>
  </xdr:oneCellAnchor>
  <xdr:oneCellAnchor>
    <xdr:from>
      <xdr:col>11</xdr:col>
      <xdr:colOff>9525</xdr:colOff>
      <xdr:row>9</xdr:row>
      <xdr:rowOff>38100</xdr:rowOff>
    </xdr:from>
    <xdr:ext cx="1857375" cy="6286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sellaDiTesto 2">
              <a:extLst>
                <a:ext uri="{FF2B5EF4-FFF2-40B4-BE49-F238E27FC236}">
                  <a16:creationId xmlns:a16="http://schemas.microsoft.com/office/drawing/2014/main" id="{EFC1F6D3-89DB-41E4-8B41-6B50B37681AB}"/>
                </a:ext>
              </a:extLst>
            </xdr:cNvPr>
            <xdr:cNvSpPr txBox="1"/>
          </xdr:nvSpPr>
          <xdr:spPr>
            <a:xfrm>
              <a:off x="6210300" y="1323975"/>
              <a:ext cx="1857375" cy="62865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6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it-IT" sz="1600" b="0" i="1">
                            <a:latin typeface="Cambria Math" panose="02040503050406030204" pitchFamily="18" charset="0"/>
                          </a:rPr>
                          <m:t>𝐸</m:t>
                        </m:r>
                      </m:sub>
                    </m:sSub>
                    <m:r>
                      <a:rPr lang="it-IT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𝜋</m:t>
                            </m:r>
                          </m:e>
                          <m:sup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𝐸</m:t>
                            </m:r>
                          </m:e>
                          <m:sub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𝑐</m:t>
                            </m:r>
                          </m:sub>
                        </m:sSub>
                        <m:sSup>
                          <m:sSup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𝑑</m:t>
                            </m:r>
                          </m:e>
                          <m:sup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Sup>
                          <m:sSubSupPr>
                            <m:ctrlPr>
                              <a:rPr lang="it-IT" sz="1600" b="0" i="1">
                                <a:latin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16 </m:t>
                            </m:r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𝑙</m:t>
                            </m:r>
                          </m:e>
                          <m:sub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0</m:t>
                            </m:r>
                          </m:sub>
                          <m:sup>
                            <m:r>
                              <a:rPr lang="it-IT" sz="16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p>
                        </m:sSubSup>
                      </m:den>
                    </m:f>
                    <m:r>
                      <a:rPr lang="it-IT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≤</m:t>
                    </m:r>
                    <m:sSub>
                      <m:sSubPr>
                        <m:ctrlP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𝜎</m:t>
                        </m:r>
                      </m:e>
                      <m:sub>
                        <m: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</m:t>
                        </m:r>
                        <m: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it-IT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r>
                      <a:rPr lang="it-IT" sz="16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it-IT" sz="1600"/>
            </a:p>
          </xdr:txBody>
        </xdr:sp>
      </mc:Choice>
      <mc:Fallback xmlns="">
        <xdr:sp macro="" textlink="">
          <xdr:nvSpPr>
            <xdr:cNvPr id="3" name="CasellaDiTesto 2">
              <a:extLst>
                <a:ext uri="{FF2B5EF4-FFF2-40B4-BE49-F238E27FC236}">
                  <a16:creationId xmlns:a16="http://schemas.microsoft.com/office/drawing/2014/main" id="{EFC1F6D3-89DB-41E4-8B41-6B50B37681AB}"/>
                </a:ext>
              </a:extLst>
            </xdr:cNvPr>
            <xdr:cNvSpPr txBox="1"/>
          </xdr:nvSpPr>
          <xdr:spPr>
            <a:xfrm>
              <a:off x="6210300" y="1323975"/>
              <a:ext cx="1857375" cy="62865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:r>
                <a:rPr lang="it-IT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𝜎_</a:t>
              </a:r>
              <a:r>
                <a:rPr lang="it-IT" sz="1600" b="0" i="0">
                  <a:latin typeface="Cambria Math" panose="02040503050406030204" pitchFamily="18" charset="0"/>
                </a:rPr>
                <a:t>𝐸=(</a:t>
              </a:r>
              <a:r>
                <a:rPr lang="it-IT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𝜋^</a:t>
              </a:r>
              <a:r>
                <a:rPr lang="it-IT" sz="1600" b="0" i="0">
                  <a:latin typeface="Cambria Math" panose="02040503050406030204" pitchFamily="18" charset="0"/>
                </a:rPr>
                <a:t>2 𝐸_𝑐 𝑑^2)/(〖16 𝑙〗_0^2 )</a:t>
              </a:r>
              <a:r>
                <a:rPr lang="it-IT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≤</a:t>
              </a:r>
              <a:r>
                <a:rPr lang="it-IT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𝜎_(𝑟,𝑐) </a:t>
              </a:r>
              <a:r>
                <a:rPr lang="it-IT" sz="1600" b="0" i="0">
                  <a:latin typeface="Cambria Math" panose="02040503050406030204" pitchFamily="18" charset="0"/>
                </a:rPr>
                <a:t> </a:t>
              </a:r>
              <a:endParaRPr lang="it-IT" sz="1600"/>
            </a:p>
          </xdr:txBody>
        </xdr:sp>
      </mc:Fallback>
    </mc:AlternateContent>
    <xdr:clientData/>
  </xdr:oneCellAnchor>
  <xdr:twoCellAnchor>
    <xdr:from>
      <xdr:col>5</xdr:col>
      <xdr:colOff>600075</xdr:colOff>
      <xdr:row>43</xdr:row>
      <xdr:rowOff>76200</xdr:rowOff>
    </xdr:from>
    <xdr:to>
      <xdr:col>10</xdr:col>
      <xdr:colOff>265327</xdr:colOff>
      <xdr:row>57</xdr:row>
      <xdr:rowOff>1200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14F4FE4-F445-4615-B796-9050485E0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552450</xdr:colOff>
      <xdr:row>57</xdr:row>
      <xdr:rowOff>19050</xdr:rowOff>
    </xdr:from>
    <xdr:to>
      <xdr:col>10</xdr:col>
      <xdr:colOff>217702</xdr:colOff>
      <xdr:row>70</xdr:row>
      <xdr:rowOff>134550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BE5B53DA-2387-4A5D-BD66-DA6E4090F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43</xdr:row>
      <xdr:rowOff>0</xdr:rowOff>
    </xdr:from>
    <xdr:to>
      <xdr:col>15</xdr:col>
      <xdr:colOff>274852</xdr:colOff>
      <xdr:row>56</xdr:row>
      <xdr:rowOff>115500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781F9BB5-85C5-45F5-B4E7-AC2EA04F79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38100</xdr:colOff>
      <xdr:row>42</xdr:row>
      <xdr:rowOff>133350</xdr:rowOff>
    </xdr:from>
    <xdr:to>
      <xdr:col>20</xdr:col>
      <xdr:colOff>312952</xdr:colOff>
      <xdr:row>56</xdr:row>
      <xdr:rowOff>58350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AD95484-39D6-4008-8EA2-A88AB03BA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58</xdr:row>
      <xdr:rowOff>0</xdr:rowOff>
    </xdr:from>
    <xdr:to>
      <xdr:col>15</xdr:col>
      <xdr:colOff>274852</xdr:colOff>
      <xdr:row>71</xdr:row>
      <xdr:rowOff>115500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D31981BF-28DC-4A23-8A34-C040BDBAD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495300</xdr:colOff>
      <xdr:row>22</xdr:row>
      <xdr:rowOff>47625</xdr:rowOff>
    </xdr:from>
    <xdr:to>
      <xdr:col>27</xdr:col>
      <xdr:colOff>160552</xdr:colOff>
      <xdr:row>35</xdr:row>
      <xdr:rowOff>163125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96CF56E-EC3B-4C80-B40B-E64CEEF0A3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466725</xdr:colOff>
      <xdr:row>36</xdr:row>
      <xdr:rowOff>47625</xdr:rowOff>
    </xdr:from>
    <xdr:to>
      <xdr:col>27</xdr:col>
      <xdr:colOff>131977</xdr:colOff>
      <xdr:row>49</xdr:row>
      <xdr:rowOff>163125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DE0F1E7-B5AE-4B3C-B723-207D62E95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19050</xdr:colOff>
      <xdr:row>21</xdr:row>
      <xdr:rowOff>200025</xdr:rowOff>
    </xdr:from>
    <xdr:to>
      <xdr:col>33</xdr:col>
      <xdr:colOff>267398</xdr:colOff>
      <xdr:row>33</xdr:row>
      <xdr:rowOff>35925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51DFE34-6DD0-43AF-953E-03EBC6A6C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561975</xdr:colOff>
      <xdr:row>21</xdr:row>
      <xdr:rowOff>200025</xdr:rowOff>
    </xdr:from>
    <xdr:to>
      <xdr:col>38</xdr:col>
      <xdr:colOff>197410</xdr:colOff>
      <xdr:row>33</xdr:row>
      <xdr:rowOff>35925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640189B4-83D3-4CE6-BC44-F252366729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546652</xdr:colOff>
      <xdr:row>34</xdr:row>
      <xdr:rowOff>124239</xdr:rowOff>
    </xdr:from>
    <xdr:to>
      <xdr:col>33</xdr:col>
      <xdr:colOff>208591</xdr:colOff>
      <xdr:row>48</xdr:row>
      <xdr:rowOff>49239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7FD02AF3-D018-4146-B47F-E5116B5A12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536863</xdr:colOff>
      <xdr:row>34</xdr:row>
      <xdr:rowOff>51955</xdr:rowOff>
    </xdr:from>
    <xdr:to>
      <xdr:col>38</xdr:col>
      <xdr:colOff>205579</xdr:colOff>
      <xdr:row>47</xdr:row>
      <xdr:rowOff>167455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364C7501-AD45-49EF-B4C0-B16C2A89E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5130</xdr:colOff>
      <xdr:row>24</xdr:row>
      <xdr:rowOff>187569</xdr:rowOff>
    </xdr:from>
    <xdr:to>
      <xdr:col>32</xdr:col>
      <xdr:colOff>278517</xdr:colOff>
      <xdr:row>36</xdr:row>
      <xdr:rowOff>61569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78CFB4B-3B2F-485C-B9F9-46E22BA0F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25</xdr:row>
      <xdr:rowOff>0</xdr:rowOff>
    </xdr:from>
    <xdr:to>
      <xdr:col>27</xdr:col>
      <xdr:colOff>274852</xdr:colOff>
      <xdr:row>36</xdr:row>
      <xdr:rowOff>64500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CB226F4-47B5-4FEB-ACAA-2F734DC0D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25</xdr:row>
      <xdr:rowOff>0</xdr:rowOff>
    </xdr:from>
    <xdr:to>
      <xdr:col>32</xdr:col>
      <xdr:colOff>248348</xdr:colOff>
      <xdr:row>36</xdr:row>
      <xdr:rowOff>64500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718BFB3-27D4-44D1-8987-D6ABB7EE6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25</xdr:row>
      <xdr:rowOff>0</xdr:rowOff>
    </xdr:from>
    <xdr:to>
      <xdr:col>28</xdr:col>
      <xdr:colOff>248348</xdr:colOff>
      <xdr:row>36</xdr:row>
      <xdr:rowOff>64500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54EFF81-9D35-46B8-8101-C9A29EAE0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72</xdr:row>
      <xdr:rowOff>0</xdr:rowOff>
    </xdr:from>
    <xdr:to>
      <xdr:col>5</xdr:col>
      <xdr:colOff>575925</xdr:colOff>
      <xdr:row>85</xdr:row>
      <xdr:rowOff>115500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6555F3C-7C32-4597-B0D2-B389CBEC7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72</xdr:row>
      <xdr:rowOff>19050</xdr:rowOff>
    </xdr:from>
    <xdr:to>
      <xdr:col>10</xdr:col>
      <xdr:colOff>385425</xdr:colOff>
      <xdr:row>85</xdr:row>
      <xdr:rowOff>134550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AD930081-6F74-49F2-96BB-077C07BC2A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57977</xdr:colOff>
      <xdr:row>71</xdr:row>
      <xdr:rowOff>149087</xdr:rowOff>
    </xdr:from>
    <xdr:to>
      <xdr:col>22</xdr:col>
      <xdr:colOff>319578</xdr:colOff>
      <xdr:row>85</xdr:row>
      <xdr:rowOff>74087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917D2FCD-F04B-4F42-B1EA-041E154D3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72</xdr:row>
      <xdr:rowOff>0</xdr:rowOff>
    </xdr:from>
    <xdr:to>
      <xdr:col>17</xdr:col>
      <xdr:colOff>261600</xdr:colOff>
      <xdr:row>85</xdr:row>
      <xdr:rowOff>115500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E90026FB-EE45-4D75-B1EA-A43346F96E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11</xdr:row>
      <xdr:rowOff>138112</xdr:rowOff>
    </xdr:from>
    <xdr:ext cx="923778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40BE05E7-C99A-422B-9FE7-C29A95D8BEEC}"/>
                </a:ext>
              </a:extLst>
            </xdr:cNvPr>
            <xdr:cNvSpPr txBox="1"/>
          </xdr:nvSpPr>
          <xdr:spPr>
            <a:xfrm>
              <a:off x="806312" y="2258460"/>
              <a:ext cx="923778" cy="4033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𝑙𝑖𝑚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250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40BE05E7-C99A-422B-9FE7-C29A95D8BEEC}"/>
                </a:ext>
              </a:extLst>
            </xdr:cNvPr>
            <xdr:cNvSpPr txBox="1"/>
          </xdr:nvSpPr>
          <xdr:spPr>
            <a:xfrm>
              <a:off x="806312" y="2258460"/>
              <a:ext cx="923778" cy="4033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𝑤_𝑙𝑖𝑚=</a:t>
              </a:r>
              <a:r>
                <a:rPr lang="it-IT" sz="1400" b="0" i="0">
                  <a:latin typeface="Cambria Math" panose="02040503050406030204" pitchFamily="18" charset="0"/>
                </a:rPr>
                <a:t>𝐿/250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7</xdr:col>
      <xdr:colOff>604630</xdr:colOff>
      <xdr:row>17</xdr:row>
      <xdr:rowOff>0</xdr:rowOff>
    </xdr:from>
    <xdr:to>
      <xdr:col>12</xdr:col>
      <xdr:colOff>582065</xdr:colOff>
      <xdr:row>30</xdr:row>
      <xdr:rowOff>140674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FF7A7ADC-C5C3-4791-A65A-0C04FE912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604630</xdr:colOff>
      <xdr:row>17</xdr:row>
      <xdr:rowOff>0</xdr:rowOff>
    </xdr:from>
    <xdr:to>
      <xdr:col>18</xdr:col>
      <xdr:colOff>582064</xdr:colOff>
      <xdr:row>30</xdr:row>
      <xdr:rowOff>140674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EB293990-411E-4E43-9314-34260BD29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604630</xdr:colOff>
      <xdr:row>17</xdr:row>
      <xdr:rowOff>0</xdr:rowOff>
    </xdr:from>
    <xdr:to>
      <xdr:col>24</xdr:col>
      <xdr:colOff>582065</xdr:colOff>
      <xdr:row>30</xdr:row>
      <xdr:rowOff>140674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B7CB235B-B69F-4BAF-B258-A411F8953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132523</xdr:colOff>
      <xdr:row>52</xdr:row>
      <xdr:rowOff>24848</xdr:rowOff>
    </xdr:from>
    <xdr:to>
      <xdr:col>13</xdr:col>
      <xdr:colOff>109958</xdr:colOff>
      <xdr:row>66</xdr:row>
      <xdr:rowOff>16435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DFCDEB10-713B-4890-A8C1-BAAEE0CF1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132523</xdr:colOff>
      <xdr:row>52</xdr:row>
      <xdr:rowOff>24848</xdr:rowOff>
    </xdr:from>
    <xdr:to>
      <xdr:col>19</xdr:col>
      <xdr:colOff>109957</xdr:colOff>
      <xdr:row>66</xdr:row>
      <xdr:rowOff>16435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C6480E56-119B-45E4-B261-EB93585D8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132523</xdr:colOff>
      <xdr:row>52</xdr:row>
      <xdr:rowOff>24848</xdr:rowOff>
    </xdr:from>
    <xdr:to>
      <xdr:col>25</xdr:col>
      <xdr:colOff>109958</xdr:colOff>
      <xdr:row>66</xdr:row>
      <xdr:rowOff>16435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9BEE4461-DD8A-4C9C-83CF-CCBE2B7E8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24848</xdr:colOff>
      <xdr:row>85</xdr:row>
      <xdr:rowOff>24848</xdr:rowOff>
    </xdr:from>
    <xdr:to>
      <xdr:col>13</xdr:col>
      <xdr:colOff>2283</xdr:colOff>
      <xdr:row>98</xdr:row>
      <xdr:rowOff>165522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BA9A2B92-C742-4447-9B5B-0AC7AD5B7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24848</xdr:colOff>
      <xdr:row>85</xdr:row>
      <xdr:rowOff>24848</xdr:rowOff>
    </xdr:from>
    <xdr:to>
      <xdr:col>19</xdr:col>
      <xdr:colOff>2282</xdr:colOff>
      <xdr:row>98</xdr:row>
      <xdr:rowOff>165522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E6295E1F-998F-49CD-9002-494FE84A1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24848</xdr:colOff>
      <xdr:row>85</xdr:row>
      <xdr:rowOff>24848</xdr:rowOff>
    </xdr:from>
    <xdr:to>
      <xdr:col>24</xdr:col>
      <xdr:colOff>273196</xdr:colOff>
      <xdr:row>98</xdr:row>
      <xdr:rowOff>57522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5BFC5DC7-F470-4E26-AB4D-8B2CD9CE32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546652</xdr:colOff>
      <xdr:row>119</xdr:row>
      <xdr:rowOff>16566</xdr:rowOff>
    </xdr:from>
    <xdr:to>
      <xdr:col>12</xdr:col>
      <xdr:colOff>524087</xdr:colOff>
      <xdr:row>132</xdr:row>
      <xdr:rowOff>157239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A6BC01BB-4408-4F7F-A0A4-793BAD17B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538369</xdr:colOff>
      <xdr:row>118</xdr:row>
      <xdr:rowOff>223631</xdr:rowOff>
    </xdr:from>
    <xdr:to>
      <xdr:col>18</xdr:col>
      <xdr:colOff>515803</xdr:colOff>
      <xdr:row>132</xdr:row>
      <xdr:rowOff>132391</xdr:rowOff>
    </xdr:to>
    <xdr:graphicFrame macro="">
      <xdr:nvGraphicFramePr>
        <xdr:cNvPr id="44" name="Grafico 43">
          <a:extLst>
            <a:ext uri="{FF2B5EF4-FFF2-40B4-BE49-F238E27FC236}">
              <a16:creationId xmlns:a16="http://schemas.microsoft.com/office/drawing/2014/main" id="{FCE7FCDC-9BF0-418B-BD9A-58F24105E5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546652</xdr:colOff>
      <xdr:row>119</xdr:row>
      <xdr:rowOff>16566</xdr:rowOff>
    </xdr:from>
    <xdr:to>
      <xdr:col>24</xdr:col>
      <xdr:colOff>524087</xdr:colOff>
      <xdr:row>132</xdr:row>
      <xdr:rowOff>157239</xdr:rowOff>
    </xdr:to>
    <xdr:graphicFrame macro="">
      <xdr:nvGraphicFramePr>
        <xdr:cNvPr id="45" name="Grafico 44">
          <a:extLst>
            <a:ext uri="{FF2B5EF4-FFF2-40B4-BE49-F238E27FC236}">
              <a16:creationId xmlns:a16="http://schemas.microsoft.com/office/drawing/2014/main" id="{6D25D898-0B99-49A1-A2E0-0B6559B37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4</xdr:col>
      <xdr:colOff>41413</xdr:colOff>
      <xdr:row>155</xdr:row>
      <xdr:rowOff>33522</xdr:rowOff>
    </xdr:from>
    <xdr:ext cx="1350065" cy="504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CasellaDiTesto 29">
              <a:extLst>
                <a:ext uri="{FF2B5EF4-FFF2-40B4-BE49-F238E27FC236}">
                  <a16:creationId xmlns:a16="http://schemas.microsoft.com/office/drawing/2014/main" id="{5C2FED60-5E6A-49F1-BCE0-9DBDD16FAEC4}"/>
                </a:ext>
              </a:extLst>
            </xdr:cNvPr>
            <xdr:cNvSpPr txBox="1"/>
          </xdr:nvSpPr>
          <xdr:spPr>
            <a:xfrm>
              <a:off x="1987826" y="3611609"/>
              <a:ext cx="1350065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𝑤</m:t>
                        </m:r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200"/>
            </a:p>
          </xdr:txBody>
        </xdr:sp>
      </mc:Choice>
      <mc:Fallback xmlns="">
        <xdr:sp macro="" textlink="">
          <xdr:nvSpPr>
            <xdr:cNvPr id="30" name="CasellaDiTesto 29">
              <a:extLst>
                <a:ext uri="{FF2B5EF4-FFF2-40B4-BE49-F238E27FC236}">
                  <a16:creationId xmlns:a16="http://schemas.microsoft.com/office/drawing/2014/main" id="{5C2FED60-5E6A-49F1-BCE0-9DBDD16FAEC4}"/>
                </a:ext>
              </a:extLst>
            </xdr:cNvPr>
            <xdr:cNvSpPr txBox="1"/>
          </xdr:nvSpPr>
          <xdr:spPr>
            <a:xfrm>
              <a:off x="1987826" y="3611609"/>
              <a:ext cx="1350065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200" b="0" i="0">
                  <a:latin typeface="Cambria Math" panose="02040503050406030204" pitchFamily="18" charset="0"/>
                </a:rPr>
                <a:t>(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𝐿−𝐿_1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it-IT" sz="1200" b="0" i="0">
                  <a:latin typeface="Cambria Math" panose="02040503050406030204" pitchFamily="18" charset="0"/>
                </a:rPr>
                <a:t>𝐿_2−𝐿_1 )=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_1)/(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_2−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_1 )</a:t>
              </a:r>
              <a:endParaRPr lang="it-IT" sz="1200"/>
            </a:p>
          </xdr:txBody>
        </xdr:sp>
      </mc:Fallback>
    </mc:AlternateContent>
    <xdr:clientData/>
  </xdr:oneCellAnchor>
  <xdr:oneCellAnchor>
    <xdr:from>
      <xdr:col>6</xdr:col>
      <xdr:colOff>4971</xdr:colOff>
      <xdr:row>158</xdr:row>
      <xdr:rowOff>8284</xdr:rowOff>
    </xdr:from>
    <xdr:ext cx="687457" cy="504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48A6A763-AE66-47FE-82B7-DFACD03BF1B1}"/>
                </a:ext>
              </a:extLst>
            </xdr:cNvPr>
            <xdr:cNvSpPr txBox="1"/>
          </xdr:nvSpPr>
          <xdr:spPr>
            <a:xfrm>
              <a:off x="3177210" y="4157871"/>
              <a:ext cx="687457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2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</m:num>
                      <m:den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250</m:t>
                        </m:r>
                      </m:den>
                    </m:f>
                  </m:oMath>
                </m:oMathPara>
              </a14:m>
              <a:endParaRPr lang="it-IT" sz="1200"/>
            </a:p>
          </xdr:txBody>
        </xdr:sp>
      </mc:Choice>
      <mc:Fallback xmlns="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48A6A763-AE66-47FE-82B7-DFACD03BF1B1}"/>
                </a:ext>
              </a:extLst>
            </xdr:cNvPr>
            <xdr:cNvSpPr txBox="1"/>
          </xdr:nvSpPr>
          <xdr:spPr>
            <a:xfrm>
              <a:off x="3177210" y="4157871"/>
              <a:ext cx="687457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200" b="0" i="0">
                  <a:latin typeface="Cambria Math" panose="02040503050406030204" pitchFamily="18" charset="0"/>
                </a:rPr>
                <a:t>𝑤=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it-IT" sz="1200" b="0" i="0">
                  <a:latin typeface="Cambria Math" panose="02040503050406030204" pitchFamily="18" charset="0"/>
                </a:rPr>
                <a:t>250</a:t>
              </a:r>
              <a:endParaRPr lang="it-IT" sz="1200"/>
            </a:p>
          </xdr:txBody>
        </xdr:sp>
      </mc:Fallback>
    </mc:AlternateContent>
    <xdr:clientData/>
  </xdr:oneCellAnchor>
  <xdr:oneCellAnchor>
    <xdr:from>
      <xdr:col>7</xdr:col>
      <xdr:colOff>306456</xdr:colOff>
      <xdr:row>155</xdr:row>
      <xdr:rowOff>16956</xdr:rowOff>
    </xdr:from>
    <xdr:ext cx="3520108" cy="504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CasellaDiTesto 31">
              <a:extLst>
                <a:ext uri="{FF2B5EF4-FFF2-40B4-BE49-F238E27FC236}">
                  <a16:creationId xmlns:a16="http://schemas.microsoft.com/office/drawing/2014/main" id="{8029421A-B919-431A-B4C4-D29BD29709F4}"/>
                </a:ext>
              </a:extLst>
            </xdr:cNvPr>
            <xdr:cNvSpPr txBox="1"/>
          </xdr:nvSpPr>
          <xdr:spPr>
            <a:xfrm>
              <a:off x="4091608" y="3595043"/>
              <a:ext cx="3520108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2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  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it-IT" sz="12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+</m:t>
                    </m:r>
                    <m:d>
                      <m:d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f>
                          <m:f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it-IT" sz="1200"/>
            </a:p>
          </xdr:txBody>
        </xdr:sp>
      </mc:Choice>
      <mc:Fallback xmlns="">
        <xdr:sp macro="" textlink="">
          <xdr:nvSpPr>
            <xdr:cNvPr id="32" name="CasellaDiTesto 31">
              <a:extLst>
                <a:ext uri="{FF2B5EF4-FFF2-40B4-BE49-F238E27FC236}">
                  <a16:creationId xmlns:a16="http://schemas.microsoft.com/office/drawing/2014/main" id="{8029421A-B919-431A-B4C4-D29BD29709F4}"/>
                </a:ext>
              </a:extLst>
            </xdr:cNvPr>
            <xdr:cNvSpPr txBox="1"/>
          </xdr:nvSpPr>
          <xdr:spPr>
            <a:xfrm>
              <a:off x="4091608" y="3595043"/>
              <a:ext cx="3520108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200" b="0" i="0">
                  <a:latin typeface="Cambria Math" panose="02040503050406030204" pitchFamily="18" charset="0"/>
                </a:rPr>
                <a:t>𝑤=𝐴  𝐿+𝐵=((𝑤_2−𝑤_1)/(𝐿_2−𝐿_1 ))𝐿+(𝑤_1−𝐿_1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(𝑤_2−𝑤_1)/(𝐿_2−𝐿_1 )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it-IT" sz="1200"/>
            </a:p>
          </xdr:txBody>
        </xdr:sp>
      </mc:Fallback>
    </mc:AlternateContent>
    <xdr:clientData/>
  </xdr:oneCellAnchor>
  <xdr:oneCellAnchor>
    <xdr:from>
      <xdr:col>14</xdr:col>
      <xdr:colOff>231912</xdr:colOff>
      <xdr:row>158</xdr:row>
      <xdr:rowOff>8283</xdr:rowOff>
    </xdr:from>
    <xdr:ext cx="1350065" cy="67089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CasellaDiTesto 32">
              <a:extLst>
                <a:ext uri="{FF2B5EF4-FFF2-40B4-BE49-F238E27FC236}">
                  <a16:creationId xmlns:a16="http://schemas.microsoft.com/office/drawing/2014/main" id="{5B603127-6937-4DCF-B9E5-317C5E61A23F}"/>
                </a:ext>
              </a:extLst>
            </xdr:cNvPr>
            <xdr:cNvSpPr txBox="1"/>
          </xdr:nvSpPr>
          <xdr:spPr>
            <a:xfrm>
              <a:off x="8307455" y="4157870"/>
              <a:ext cx="1350065" cy="670891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f>
                          <m:f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250</m:t>
                            </m:r>
                          </m:den>
                        </m:f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𝐴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33" name="CasellaDiTesto 32">
              <a:extLst>
                <a:ext uri="{FF2B5EF4-FFF2-40B4-BE49-F238E27FC236}">
                  <a16:creationId xmlns:a16="http://schemas.microsoft.com/office/drawing/2014/main" id="{5B603127-6937-4DCF-B9E5-317C5E61A23F}"/>
                </a:ext>
              </a:extLst>
            </xdr:cNvPr>
            <xdr:cNvSpPr txBox="1"/>
          </xdr:nvSpPr>
          <xdr:spPr>
            <a:xfrm>
              <a:off x="8307455" y="4157870"/>
              <a:ext cx="1350065" cy="670891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400" b="0" i="0">
                  <a:latin typeface="Cambria Math" panose="02040503050406030204" pitchFamily="18" charset="0"/>
                </a:rPr>
                <a:t>𝐿_𝑚𝑎𝑥=𝐵/(1/250−𝐴)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10</xdr:col>
      <xdr:colOff>552450</xdr:colOff>
      <xdr:row>191</xdr:row>
      <xdr:rowOff>190499</xdr:rowOff>
    </xdr:from>
    <xdr:to>
      <xdr:col>15</xdr:col>
      <xdr:colOff>564450</xdr:colOff>
      <xdr:row>205</xdr:row>
      <xdr:rowOff>147299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A5F95290-D2D4-4366-A3E0-C93214C62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208</xdr:row>
      <xdr:rowOff>0</xdr:rowOff>
    </xdr:from>
    <xdr:to>
      <xdr:col>16</xdr:col>
      <xdr:colOff>12000</xdr:colOff>
      <xdr:row>222</xdr:row>
      <xdr:rowOff>33000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D465C148-4B1F-4299-960B-E1F47B055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10</xdr:col>
      <xdr:colOff>123825</xdr:colOff>
      <xdr:row>10</xdr:row>
      <xdr:rowOff>209550</xdr:rowOff>
    </xdr:from>
    <xdr:to>
      <xdr:col>15</xdr:col>
      <xdr:colOff>99825</xdr:colOff>
      <xdr:row>25</xdr:row>
      <xdr:rowOff>41550</xdr:rowOff>
    </xdr:to>
    <xdr:graphicFrame macro="">
      <xdr:nvGraphicFramePr>
        <xdr:cNvPr id="30" name="Grafico 29">
          <a:extLst>
            <a:ext uri="{FF2B5EF4-FFF2-40B4-BE49-F238E27FC236}">
              <a16:creationId xmlns:a16="http://schemas.microsoft.com/office/drawing/2014/main" id="{2916AABA-9262-4275-B5CE-A55192306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11</xdr:row>
      <xdr:rowOff>0</xdr:rowOff>
    </xdr:from>
    <xdr:to>
      <xdr:col>24</xdr:col>
      <xdr:colOff>585600</xdr:colOff>
      <xdr:row>25</xdr:row>
      <xdr:rowOff>60600</xdr:rowOff>
    </xdr:to>
    <xdr:graphicFrame macro="">
      <xdr:nvGraphicFramePr>
        <xdr:cNvPr id="31" name="Grafico 30">
          <a:extLst>
            <a:ext uri="{FF2B5EF4-FFF2-40B4-BE49-F238E27FC236}">
              <a16:creationId xmlns:a16="http://schemas.microsoft.com/office/drawing/2014/main" id="{558A1C1D-2152-47AA-B80D-53FDB18BE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11</xdr:row>
      <xdr:rowOff>0</xdr:rowOff>
    </xdr:from>
    <xdr:to>
      <xdr:col>19</xdr:col>
      <xdr:colOff>256345</xdr:colOff>
      <xdr:row>23</xdr:row>
      <xdr:rowOff>187759</xdr:rowOff>
    </xdr:to>
    <xdr:graphicFrame macro="">
      <xdr:nvGraphicFramePr>
        <xdr:cNvPr id="32" name="Grafico 31">
          <a:extLst>
            <a:ext uri="{FF2B5EF4-FFF2-40B4-BE49-F238E27FC236}">
              <a16:creationId xmlns:a16="http://schemas.microsoft.com/office/drawing/2014/main" id="{BA0058A7-D9DB-4A12-8710-E3B721B09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38100</xdr:colOff>
      <xdr:row>43</xdr:row>
      <xdr:rowOff>0</xdr:rowOff>
    </xdr:from>
    <xdr:to>
      <xdr:col>15</xdr:col>
      <xdr:colOff>14100</xdr:colOff>
      <xdr:row>57</xdr:row>
      <xdr:rowOff>136800</xdr:rowOff>
    </xdr:to>
    <xdr:graphicFrame macro="">
      <xdr:nvGraphicFramePr>
        <xdr:cNvPr id="33" name="Grafico 32">
          <a:extLst>
            <a:ext uri="{FF2B5EF4-FFF2-40B4-BE49-F238E27FC236}">
              <a16:creationId xmlns:a16="http://schemas.microsoft.com/office/drawing/2014/main" id="{88A53C74-7F15-4515-BE37-0FC6B78FE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38100</xdr:colOff>
      <xdr:row>43</xdr:row>
      <xdr:rowOff>0</xdr:rowOff>
    </xdr:from>
    <xdr:to>
      <xdr:col>20</xdr:col>
      <xdr:colOff>14100</xdr:colOff>
      <xdr:row>57</xdr:row>
      <xdr:rowOff>136800</xdr:rowOff>
    </xdr:to>
    <xdr:graphicFrame macro="">
      <xdr:nvGraphicFramePr>
        <xdr:cNvPr id="34" name="Grafico 33">
          <a:extLst>
            <a:ext uri="{FF2B5EF4-FFF2-40B4-BE49-F238E27FC236}">
              <a16:creationId xmlns:a16="http://schemas.microsoft.com/office/drawing/2014/main" id="{ADC081D6-24E6-416F-9A9D-413A98CDF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38100</xdr:colOff>
      <xdr:row>43</xdr:row>
      <xdr:rowOff>0</xdr:rowOff>
    </xdr:from>
    <xdr:to>
      <xdr:col>25</xdr:col>
      <xdr:colOff>14100</xdr:colOff>
      <xdr:row>57</xdr:row>
      <xdr:rowOff>136800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5A4D2252-93FD-4DD4-9D1C-B7C11AF832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19050</xdr:colOff>
      <xdr:row>74</xdr:row>
      <xdr:rowOff>0</xdr:rowOff>
    </xdr:from>
    <xdr:to>
      <xdr:col>14</xdr:col>
      <xdr:colOff>604650</xdr:colOff>
      <xdr:row>88</xdr:row>
      <xdr:rowOff>136800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967204F4-BFC9-4B31-B705-A4D07DA6E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9525</xdr:colOff>
      <xdr:row>74</xdr:row>
      <xdr:rowOff>0</xdr:rowOff>
    </xdr:from>
    <xdr:to>
      <xdr:col>19</xdr:col>
      <xdr:colOff>595125</xdr:colOff>
      <xdr:row>88</xdr:row>
      <xdr:rowOff>136800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15F917C5-DF32-4C36-B91C-AD7ABA3985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9525</xdr:colOff>
      <xdr:row>74</xdr:row>
      <xdr:rowOff>0</xdr:rowOff>
    </xdr:from>
    <xdr:to>
      <xdr:col>24</xdr:col>
      <xdr:colOff>595125</xdr:colOff>
      <xdr:row>88</xdr:row>
      <xdr:rowOff>136800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35038AA-78B3-4621-B8EE-C00869738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28575</xdr:colOff>
      <xdr:row>105</xdr:row>
      <xdr:rowOff>0</xdr:rowOff>
    </xdr:from>
    <xdr:to>
      <xdr:col>14</xdr:col>
      <xdr:colOff>290175</xdr:colOff>
      <xdr:row>118</xdr:row>
      <xdr:rowOff>39300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27E5BF83-72F1-473A-B43B-670B22EDA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19050</xdr:colOff>
      <xdr:row>105</xdr:row>
      <xdr:rowOff>0</xdr:rowOff>
    </xdr:from>
    <xdr:to>
      <xdr:col>19</xdr:col>
      <xdr:colOff>604650</xdr:colOff>
      <xdr:row>119</xdr:row>
      <xdr:rowOff>136800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E8159AF-1E07-44C2-B200-A027E765E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19050</xdr:colOff>
      <xdr:row>105</xdr:row>
      <xdr:rowOff>0</xdr:rowOff>
    </xdr:from>
    <xdr:to>
      <xdr:col>24</xdr:col>
      <xdr:colOff>604650</xdr:colOff>
      <xdr:row>119</xdr:row>
      <xdr:rowOff>136800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4472D9BC-B727-46EE-A0C9-3422E1C99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317638</xdr:colOff>
      <xdr:row>25</xdr:row>
      <xdr:rowOff>55080</xdr:rowOff>
    </xdr:from>
    <xdr:to>
      <xdr:col>14</xdr:col>
      <xdr:colOff>560437</xdr:colOff>
      <xdr:row>38</xdr:row>
      <xdr:rowOff>135901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746751DA-600F-4F83-8BCA-BE8BE9F3E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59</xdr:row>
      <xdr:rowOff>0</xdr:rowOff>
    </xdr:from>
    <xdr:to>
      <xdr:col>15</xdr:col>
      <xdr:colOff>242799</xdr:colOff>
      <xdr:row>72</xdr:row>
      <xdr:rowOff>80821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C94038A9-B45F-4C8B-AACE-06707694B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371475</xdr:colOff>
      <xdr:row>59</xdr:row>
      <xdr:rowOff>9525</xdr:rowOff>
    </xdr:from>
    <xdr:to>
      <xdr:col>20</xdr:col>
      <xdr:colOff>4674</xdr:colOff>
      <xdr:row>72</xdr:row>
      <xdr:rowOff>90346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51D74129-D99B-4C86-984A-A963CF83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198782</xdr:colOff>
      <xdr:row>25</xdr:row>
      <xdr:rowOff>54251</xdr:rowOff>
    </xdr:from>
    <xdr:to>
      <xdr:col>19</xdr:col>
      <xdr:colOff>441581</xdr:colOff>
      <xdr:row>38</xdr:row>
      <xdr:rowOff>135072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2D5118FE-DB23-4384-85B6-DF39E0C13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455543</xdr:colOff>
      <xdr:row>25</xdr:row>
      <xdr:rowOff>165652</xdr:rowOff>
    </xdr:from>
    <xdr:to>
      <xdr:col>24</xdr:col>
      <xdr:colOff>85429</xdr:colOff>
      <xdr:row>39</xdr:row>
      <xdr:rowOff>55973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EFA6CE3F-2F67-4C06-8971-7DB293044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9EB11-4B74-4894-BFE2-43685EC70E0A}">
  <dimension ref="B1:R181"/>
  <sheetViews>
    <sheetView tabSelected="1" topLeftCell="A142" zoomScale="85" zoomScaleNormal="85" workbookViewId="0">
      <selection activeCell="P152" sqref="P152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ht="18.75" x14ac:dyDescent="0.3">
      <c r="B2" s="30" t="s">
        <v>324</v>
      </c>
      <c r="C2" s="29"/>
      <c r="D2" s="29"/>
      <c r="E2" s="29"/>
      <c r="F2" s="29"/>
    </row>
    <row r="4" spans="2:15" x14ac:dyDescent="0.25">
      <c r="B4" t="s">
        <v>325</v>
      </c>
    </row>
    <row r="5" spans="2:15" x14ac:dyDescent="0.25">
      <c r="B5" t="s">
        <v>326</v>
      </c>
    </row>
    <row r="6" spans="2:15" x14ac:dyDescent="0.25">
      <c r="B6" t="s">
        <v>327</v>
      </c>
    </row>
    <row r="7" spans="2:15" x14ac:dyDescent="0.25">
      <c r="B7" t="s">
        <v>1</v>
      </c>
    </row>
    <row r="8" spans="2:15" x14ac:dyDescent="0.25">
      <c r="K8" s="12"/>
    </row>
    <row r="9" spans="2:15" x14ac:dyDescent="0.25">
      <c r="H9" t="s">
        <v>3</v>
      </c>
      <c r="J9" s="44"/>
      <c r="K9" s="44"/>
      <c r="N9" s="2"/>
      <c r="O9" s="2"/>
    </row>
    <row r="10" spans="2:15" ht="18" x14ac:dyDescent="0.35">
      <c r="C10" t="s">
        <v>331</v>
      </c>
      <c r="F10" t="s">
        <v>328</v>
      </c>
      <c r="G10" t="s">
        <v>6</v>
      </c>
      <c r="H10">
        <v>3</v>
      </c>
      <c r="J10" s="91"/>
      <c r="K10" s="44"/>
    </row>
    <row r="11" spans="2:15" ht="18" x14ac:dyDescent="0.35">
      <c r="F11" t="s">
        <v>329</v>
      </c>
      <c r="G11" t="s">
        <v>6</v>
      </c>
      <c r="H11">
        <v>15</v>
      </c>
      <c r="J11" s="94"/>
      <c r="K11" s="44"/>
    </row>
    <row r="12" spans="2:15" ht="18" x14ac:dyDescent="0.35">
      <c r="C12" t="s">
        <v>332</v>
      </c>
      <c r="F12" t="s">
        <v>330</v>
      </c>
      <c r="G12" t="s">
        <v>6</v>
      </c>
      <c r="H12" s="3">
        <v>300</v>
      </c>
      <c r="J12" s="69"/>
      <c r="K12" s="69"/>
      <c r="L12" s="3"/>
    </row>
    <row r="13" spans="2:15" x14ac:dyDescent="0.25">
      <c r="H13" s="3"/>
      <c r="J13" s="69"/>
      <c r="K13" s="69"/>
      <c r="L13" s="3"/>
    </row>
    <row r="14" spans="2:15" ht="18" x14ac:dyDescent="0.35">
      <c r="C14" t="s">
        <v>119</v>
      </c>
      <c r="F14" t="s">
        <v>13</v>
      </c>
      <c r="G14" t="s">
        <v>6</v>
      </c>
      <c r="H14">
        <v>1500</v>
      </c>
      <c r="J14" s="69"/>
      <c r="K14" s="69"/>
      <c r="L14" s="3"/>
    </row>
    <row r="15" spans="2:15" x14ac:dyDescent="0.25">
      <c r="G15" s="1" t="s">
        <v>12</v>
      </c>
      <c r="H15">
        <f>H14/H10</f>
        <v>500</v>
      </c>
      <c r="J15" s="44"/>
      <c r="K15" s="44"/>
    </row>
    <row r="16" spans="2:15" ht="18" x14ac:dyDescent="0.35">
      <c r="F16" t="s">
        <v>14</v>
      </c>
      <c r="G16" t="s">
        <v>6</v>
      </c>
      <c r="H16">
        <v>600</v>
      </c>
      <c r="J16" s="44"/>
      <c r="K16" s="44"/>
    </row>
    <row r="17" spans="3:11" ht="15" customHeight="1" x14ac:dyDescent="0.25">
      <c r="G17" s="1" t="s">
        <v>12</v>
      </c>
      <c r="H17">
        <f>H16/H10</f>
        <v>200</v>
      </c>
      <c r="J17" s="44"/>
      <c r="K17" s="44"/>
    </row>
    <row r="18" spans="3:11" ht="18" x14ac:dyDescent="0.35">
      <c r="F18" t="s">
        <v>15</v>
      </c>
      <c r="G18" t="s">
        <v>6</v>
      </c>
      <c r="H18">
        <v>810</v>
      </c>
      <c r="J18" s="44"/>
      <c r="K18" s="44"/>
    </row>
    <row r="19" spans="3:11" ht="15" customHeight="1" x14ac:dyDescent="0.25">
      <c r="G19" s="1" t="s">
        <v>12</v>
      </c>
      <c r="H19">
        <f>H18/H10</f>
        <v>270</v>
      </c>
      <c r="J19" s="44"/>
      <c r="K19" s="44"/>
    </row>
    <row r="20" spans="3:11" ht="18" x14ac:dyDescent="0.35">
      <c r="F20" t="s">
        <v>16</v>
      </c>
      <c r="G20" t="s">
        <v>6</v>
      </c>
      <c r="H20">
        <v>990</v>
      </c>
      <c r="J20" s="44"/>
      <c r="K20" s="44"/>
    </row>
    <row r="21" spans="3:11" ht="15" customHeight="1" x14ac:dyDescent="0.25">
      <c r="G21" s="1" t="s">
        <v>12</v>
      </c>
      <c r="H21">
        <f>H20/H10</f>
        <v>330</v>
      </c>
      <c r="J21" s="44"/>
      <c r="K21" s="44"/>
    </row>
    <row r="22" spans="3:11" ht="18" x14ac:dyDescent="0.35">
      <c r="F22" s="44" t="s">
        <v>153</v>
      </c>
      <c r="G22" t="s">
        <v>6</v>
      </c>
      <c r="H22">
        <v>1230</v>
      </c>
      <c r="J22" s="44"/>
      <c r="K22" s="44"/>
    </row>
    <row r="23" spans="3:11" ht="15" customHeight="1" x14ac:dyDescent="0.25">
      <c r="F23" s="44"/>
      <c r="G23" s="1" t="s">
        <v>12</v>
      </c>
      <c r="H23">
        <f>H22/H10</f>
        <v>410</v>
      </c>
      <c r="J23" s="44"/>
      <c r="K23" s="44"/>
    </row>
    <row r="24" spans="3:11" ht="15" customHeight="1" x14ac:dyDescent="0.35">
      <c r="F24" s="44" t="s">
        <v>154</v>
      </c>
      <c r="G24" t="s">
        <v>6</v>
      </c>
      <c r="H24">
        <v>1530</v>
      </c>
      <c r="J24" s="44"/>
      <c r="K24" s="44"/>
    </row>
    <row r="25" spans="3:11" ht="15" customHeight="1" x14ac:dyDescent="0.25">
      <c r="G25" s="1" t="s">
        <v>12</v>
      </c>
      <c r="H25">
        <f>H24/H10</f>
        <v>510</v>
      </c>
      <c r="J25" s="44"/>
      <c r="K25" s="44"/>
    </row>
    <row r="26" spans="3:11" ht="15" customHeight="1" x14ac:dyDescent="0.35">
      <c r="F26" s="44" t="s">
        <v>160</v>
      </c>
      <c r="G26" t="s">
        <v>6</v>
      </c>
      <c r="H26">
        <v>1800</v>
      </c>
      <c r="J26" s="44"/>
      <c r="K26" s="44"/>
    </row>
    <row r="27" spans="3:11" ht="15" customHeight="1" x14ac:dyDescent="0.25">
      <c r="G27" s="1" t="s">
        <v>12</v>
      </c>
      <c r="H27">
        <f>H26/H10</f>
        <v>600</v>
      </c>
      <c r="J27" s="44"/>
      <c r="K27" s="44"/>
    </row>
    <row r="28" spans="3:11" ht="15" customHeight="1" x14ac:dyDescent="0.35">
      <c r="C28" s="47"/>
      <c r="D28" s="47"/>
      <c r="E28" s="47"/>
      <c r="F28" s="44" t="s">
        <v>172</v>
      </c>
      <c r="G28" t="s">
        <v>6</v>
      </c>
      <c r="H28">
        <v>2010</v>
      </c>
      <c r="J28" s="44"/>
      <c r="K28" s="44"/>
    </row>
    <row r="29" spans="3:11" ht="15" customHeight="1" x14ac:dyDescent="0.25">
      <c r="G29" s="1" t="s">
        <v>12</v>
      </c>
      <c r="H29">
        <f>H28/H10</f>
        <v>670</v>
      </c>
      <c r="J29" s="44"/>
      <c r="K29" s="44"/>
    </row>
    <row r="30" spans="3:11" ht="15" customHeight="1" x14ac:dyDescent="0.25">
      <c r="J30" s="44"/>
      <c r="K30" s="44"/>
    </row>
    <row r="31" spans="3:11" ht="18" x14ac:dyDescent="0.35">
      <c r="C31" t="s">
        <v>21</v>
      </c>
      <c r="F31" t="s">
        <v>99</v>
      </c>
      <c r="G31" t="s">
        <v>6</v>
      </c>
      <c r="H31" s="2">
        <v>1</v>
      </c>
      <c r="I31" s="2"/>
      <c r="K31" s="2"/>
    </row>
    <row r="32" spans="3:11" x14ac:dyDescent="0.25">
      <c r="F32" s="8" t="s">
        <v>100</v>
      </c>
      <c r="I32" s="2"/>
      <c r="K32" s="2"/>
    </row>
    <row r="33" spans="2:10" x14ac:dyDescent="0.25">
      <c r="C33" t="s">
        <v>333</v>
      </c>
      <c r="F33" t="s">
        <v>24</v>
      </c>
      <c r="G33" t="s">
        <v>6</v>
      </c>
      <c r="H33">
        <f>H11</f>
        <v>15</v>
      </c>
    </row>
    <row r="34" spans="2:10" x14ac:dyDescent="0.25">
      <c r="C34" t="s">
        <v>122</v>
      </c>
      <c r="F34" t="s">
        <v>25</v>
      </c>
      <c r="G34" t="s">
        <v>6</v>
      </c>
      <c r="H34">
        <f>H33+2*$H$31</f>
        <v>17</v>
      </c>
    </row>
    <row r="35" spans="2:10" x14ac:dyDescent="0.25">
      <c r="C35" t="s">
        <v>26</v>
      </c>
      <c r="F35" t="s">
        <v>27</v>
      </c>
      <c r="G35" t="s">
        <v>6</v>
      </c>
      <c r="H35" s="2">
        <f>H33+$H$31</f>
        <v>16</v>
      </c>
      <c r="J35" s="2"/>
    </row>
    <row r="38" spans="2:10" x14ac:dyDescent="0.25">
      <c r="B38" t="s">
        <v>28</v>
      </c>
    </row>
    <row r="39" spans="2:10" x14ac:dyDescent="0.25">
      <c r="C39" t="s">
        <v>29</v>
      </c>
    </row>
    <row r="40" spans="2:10" ht="18" x14ac:dyDescent="0.35">
      <c r="B40" t="s">
        <v>30</v>
      </c>
      <c r="C40" t="s">
        <v>31</v>
      </c>
      <c r="D40" t="s">
        <v>32</v>
      </c>
      <c r="F40" t="s">
        <v>33</v>
      </c>
      <c r="G40" t="s">
        <v>34</v>
      </c>
      <c r="H40">
        <v>73000</v>
      </c>
    </row>
    <row r="41" spans="2:10" ht="18" x14ac:dyDescent="0.35">
      <c r="D41" t="s">
        <v>35</v>
      </c>
      <c r="F41" t="s">
        <v>36</v>
      </c>
      <c r="G41" t="s">
        <v>34</v>
      </c>
      <c r="H41">
        <v>30000</v>
      </c>
    </row>
    <row r="42" spans="2:10" x14ac:dyDescent="0.25">
      <c r="D42" t="s">
        <v>129</v>
      </c>
      <c r="F42" s="4" t="s">
        <v>130</v>
      </c>
      <c r="G42" t="s">
        <v>62</v>
      </c>
      <c r="H42">
        <v>0.22</v>
      </c>
    </row>
    <row r="43" spans="2:10" ht="18" x14ac:dyDescent="0.35">
      <c r="B43" t="s">
        <v>37</v>
      </c>
      <c r="C43" t="s">
        <v>38</v>
      </c>
      <c r="D43" t="s">
        <v>32</v>
      </c>
      <c r="F43" t="s">
        <v>39</v>
      </c>
      <c r="G43" t="s">
        <v>34</v>
      </c>
      <c r="H43">
        <v>1940</v>
      </c>
    </row>
    <row r="44" spans="2:10" ht="18" x14ac:dyDescent="0.35">
      <c r="D44" t="s">
        <v>35</v>
      </c>
      <c r="F44" t="s">
        <v>40</v>
      </c>
      <c r="G44" t="s">
        <v>34</v>
      </c>
      <c r="H44">
        <v>719</v>
      </c>
    </row>
    <row r="45" spans="2:10" x14ac:dyDescent="0.25">
      <c r="F45" s="4" t="s">
        <v>130</v>
      </c>
      <c r="G45" t="s">
        <v>62</v>
      </c>
      <c r="H45">
        <v>0.35</v>
      </c>
    </row>
    <row r="46" spans="2:10" ht="18" x14ac:dyDescent="0.35">
      <c r="B46" t="s">
        <v>41</v>
      </c>
      <c r="C46" t="s">
        <v>42</v>
      </c>
      <c r="D46" t="s">
        <v>32</v>
      </c>
      <c r="F46" t="s">
        <v>39</v>
      </c>
      <c r="G46" t="s">
        <v>34</v>
      </c>
      <c r="H46">
        <v>210000</v>
      </c>
    </row>
    <row r="47" spans="2:10" ht="18" x14ac:dyDescent="0.35">
      <c r="D47" t="s">
        <v>35</v>
      </c>
      <c r="F47" t="s">
        <v>40</v>
      </c>
      <c r="G47" t="s">
        <v>34</v>
      </c>
      <c r="H47">
        <v>81000</v>
      </c>
    </row>
    <row r="48" spans="2:10" x14ac:dyDescent="0.25">
      <c r="F48" s="4" t="s">
        <v>130</v>
      </c>
      <c r="G48" t="s">
        <v>62</v>
      </c>
      <c r="H48" s="3">
        <v>0.3</v>
      </c>
    </row>
    <row r="51" spans="2:10" x14ac:dyDescent="0.25">
      <c r="B51" s="9" t="s">
        <v>43</v>
      </c>
      <c r="C51" s="9"/>
      <c r="D51" s="9"/>
      <c r="E51" s="9"/>
      <c r="F51" s="9"/>
    </row>
    <row r="52" spans="2:10" x14ac:dyDescent="0.25">
      <c r="H52" s="11"/>
      <c r="I52" s="11"/>
      <c r="J52" s="11"/>
    </row>
    <row r="53" spans="2:10" x14ac:dyDescent="0.25">
      <c r="G53" s="2"/>
    </row>
    <row r="54" spans="2:10" x14ac:dyDescent="0.25">
      <c r="B54" s="9" t="s">
        <v>123</v>
      </c>
      <c r="C54" s="9"/>
      <c r="D54" s="9"/>
      <c r="G54" s="2"/>
    </row>
    <row r="55" spans="2:10" x14ac:dyDescent="0.25">
      <c r="C55" t="s">
        <v>125</v>
      </c>
      <c r="G55" s="2"/>
    </row>
    <row r="56" spans="2:10" x14ac:dyDescent="0.25">
      <c r="C56" t="s">
        <v>126</v>
      </c>
      <c r="G56" s="2"/>
    </row>
    <row r="57" spans="2:10" x14ac:dyDescent="0.25">
      <c r="C57" t="s">
        <v>46</v>
      </c>
      <c r="G57" s="2"/>
    </row>
    <row r="58" spans="2:10" x14ac:dyDescent="0.25">
      <c r="C58" t="s">
        <v>47</v>
      </c>
      <c r="G58" s="2"/>
    </row>
    <row r="59" spans="2:10" x14ac:dyDescent="0.25">
      <c r="C59" t="s">
        <v>124</v>
      </c>
      <c r="G59" s="2"/>
    </row>
    <row r="60" spans="2:10" x14ac:dyDescent="0.25">
      <c r="C60" t="s">
        <v>48</v>
      </c>
      <c r="G60" s="2"/>
    </row>
    <row r="61" spans="2:10" x14ac:dyDescent="0.25">
      <c r="G61" s="2"/>
    </row>
    <row r="62" spans="2:10" x14ac:dyDescent="0.25">
      <c r="B62" t="s">
        <v>49</v>
      </c>
      <c r="G62" s="2"/>
    </row>
    <row r="63" spans="2:10" x14ac:dyDescent="0.25">
      <c r="C63" t="s">
        <v>50</v>
      </c>
      <c r="F63" t="s">
        <v>51</v>
      </c>
      <c r="G63" s="2"/>
    </row>
    <row r="64" spans="2:10" x14ac:dyDescent="0.25">
      <c r="F64" t="s">
        <v>52</v>
      </c>
      <c r="G64" s="2"/>
    </row>
    <row r="65" spans="2:11" x14ac:dyDescent="0.25">
      <c r="C65" t="s">
        <v>53</v>
      </c>
      <c r="F65" t="s">
        <v>54</v>
      </c>
      <c r="G65" s="2"/>
    </row>
    <row r="66" spans="2:11" x14ac:dyDescent="0.25">
      <c r="F66" t="s">
        <v>55</v>
      </c>
      <c r="G66" s="2"/>
    </row>
    <row r="67" spans="2:11" x14ac:dyDescent="0.25">
      <c r="C67" t="s">
        <v>56</v>
      </c>
      <c r="F67" t="s">
        <v>57</v>
      </c>
      <c r="G67" s="2"/>
    </row>
    <row r="70" spans="2:11" x14ac:dyDescent="0.25">
      <c r="B70" s="42" t="s">
        <v>133</v>
      </c>
    </row>
    <row r="71" spans="2:11" x14ac:dyDescent="0.25">
      <c r="B71" t="s">
        <v>127</v>
      </c>
      <c r="H71" s="12"/>
    </row>
    <row r="72" spans="2:11" x14ac:dyDescent="0.25">
      <c r="B72" s="12" t="s">
        <v>58</v>
      </c>
    </row>
    <row r="73" spans="2:11" x14ac:dyDescent="0.25">
      <c r="C73" t="s">
        <v>59</v>
      </c>
    </row>
    <row r="74" spans="2:11" x14ac:dyDescent="0.25">
      <c r="C74" t="s">
        <v>60</v>
      </c>
    </row>
    <row r="75" spans="2:11" x14ac:dyDescent="0.25">
      <c r="F75" s="13"/>
      <c r="G75" s="1"/>
      <c r="H75" t="s">
        <v>3</v>
      </c>
    </row>
    <row r="76" spans="2:11" x14ac:dyDescent="0.25">
      <c r="F76" s="13" t="s">
        <v>61</v>
      </c>
      <c r="G76" t="s">
        <v>62</v>
      </c>
      <c r="H76" s="3">
        <f>H35/$H$31</f>
        <v>16</v>
      </c>
      <c r="J76" s="3"/>
    </row>
    <row r="77" spans="2:11" x14ac:dyDescent="0.25">
      <c r="F77" s="13"/>
      <c r="H77" s="3"/>
      <c r="I77" s="3"/>
      <c r="J77" s="3"/>
      <c r="K77" s="3"/>
    </row>
    <row r="78" spans="2:11" x14ac:dyDescent="0.25">
      <c r="C78" t="s">
        <v>63</v>
      </c>
    </row>
    <row r="79" spans="2:11" x14ac:dyDescent="0.25">
      <c r="C79" s="14" t="s">
        <v>64</v>
      </c>
    </row>
    <row r="80" spans="2:11" x14ac:dyDescent="0.25">
      <c r="F80" s="13" t="s">
        <v>65</v>
      </c>
      <c r="H80" s="5" t="s">
        <v>3</v>
      </c>
      <c r="J80" s="5"/>
    </row>
    <row r="81" spans="2:11" x14ac:dyDescent="0.25">
      <c r="F81" t="s">
        <v>66</v>
      </c>
      <c r="G81" t="s">
        <v>62</v>
      </c>
      <c r="H81" s="2">
        <f>$H$40*$H$31/$H$43/H33*(H35/H33)^2</f>
        <v>2.8542191676212294</v>
      </c>
      <c r="J81" s="2"/>
    </row>
    <row r="82" spans="2:11" x14ac:dyDescent="0.25">
      <c r="F82" t="s">
        <v>67</v>
      </c>
      <c r="G82" t="s">
        <v>62</v>
      </c>
      <c r="H82" s="3">
        <f>$H$40*$H$31/$H$46/H33*(H35/H33)^2</f>
        <v>2.6367548500881834E-2</v>
      </c>
      <c r="J82" s="3"/>
    </row>
    <row r="83" spans="2:11" x14ac:dyDescent="0.25">
      <c r="H83" s="2"/>
      <c r="I83" s="2"/>
      <c r="J83" s="2"/>
      <c r="K83" s="2"/>
    </row>
    <row r="84" spans="2:11" x14ac:dyDescent="0.25">
      <c r="C84" t="s">
        <v>70</v>
      </c>
    </row>
    <row r="85" spans="2:11" x14ac:dyDescent="0.25">
      <c r="F85" s="13" t="s">
        <v>65</v>
      </c>
      <c r="H85" s="5" t="s">
        <v>3</v>
      </c>
      <c r="J85" s="5"/>
    </row>
    <row r="86" spans="2:11" x14ac:dyDescent="0.25">
      <c r="F86" t="s">
        <v>66</v>
      </c>
      <c r="G86" t="s">
        <v>62</v>
      </c>
      <c r="H86" s="2">
        <f>$H$40*$H$31*H35/$H$43/H33^2</f>
        <v>2.6758304696449029</v>
      </c>
      <c r="J86" s="2"/>
    </row>
    <row r="87" spans="2:11" x14ac:dyDescent="0.25">
      <c r="F87" t="s">
        <v>67</v>
      </c>
      <c r="G87" t="s">
        <v>62</v>
      </c>
      <c r="H87" s="3">
        <f>$H$40*$H$31*H35/$H$46/H33^2</f>
        <v>2.4719576719576718E-2</v>
      </c>
      <c r="J87" s="3"/>
    </row>
    <row r="88" spans="2:11" x14ac:dyDescent="0.25">
      <c r="H88" s="2"/>
      <c r="I88" s="2"/>
      <c r="J88" s="2"/>
      <c r="K88" s="2"/>
    </row>
    <row r="89" spans="2:11" x14ac:dyDescent="0.25">
      <c r="C89" t="s">
        <v>71</v>
      </c>
    </row>
    <row r="90" spans="2:11" x14ac:dyDescent="0.25">
      <c r="H90" s="5" t="s">
        <v>3</v>
      </c>
      <c r="J90" s="5"/>
    </row>
    <row r="91" spans="2:11" x14ac:dyDescent="0.25">
      <c r="F91" s="15" t="s">
        <v>61</v>
      </c>
      <c r="G91" t="s">
        <v>62</v>
      </c>
      <c r="H91" s="3">
        <f>H35/$H$31</f>
        <v>16</v>
      </c>
      <c r="J91" s="3"/>
    </row>
    <row r="92" spans="2:11" x14ac:dyDescent="0.25">
      <c r="B92" s="42"/>
      <c r="D92" s="15"/>
      <c r="E92" s="3"/>
    </row>
    <row r="93" spans="2:11" x14ac:dyDescent="0.25">
      <c r="D93" s="15"/>
      <c r="E93" s="3"/>
    </row>
    <row r="95" spans="2:11" x14ac:dyDescent="0.25">
      <c r="B95" s="9" t="s">
        <v>128</v>
      </c>
      <c r="C95" s="9"/>
      <c r="D95" s="9"/>
      <c r="E95" s="9"/>
      <c r="F95" s="9"/>
    </row>
    <row r="97" spans="2:18" x14ac:dyDescent="0.25">
      <c r="B97" s="9" t="s">
        <v>72</v>
      </c>
      <c r="C97" s="9"/>
      <c r="D97" s="9"/>
    </row>
    <row r="100" spans="2:18" x14ac:dyDescent="0.25">
      <c r="H100" s="5" t="s">
        <v>3</v>
      </c>
      <c r="J100" s="5"/>
    </row>
    <row r="101" spans="2:18" x14ac:dyDescent="0.25">
      <c r="B101" s="43" t="s">
        <v>131</v>
      </c>
      <c r="F101" s="16" t="s">
        <v>73</v>
      </c>
      <c r="G101" s="5" t="s">
        <v>145</v>
      </c>
      <c r="H101" s="11">
        <f>$H$40*$H$31^3/6/(1-$H$42^2)</f>
        <v>12785.484096959506</v>
      </c>
      <c r="J101" s="11"/>
      <c r="L101" s="28" t="s">
        <v>141</v>
      </c>
    </row>
    <row r="102" spans="2:18" x14ac:dyDescent="0.25">
      <c r="B102" s="43" t="s">
        <v>132</v>
      </c>
      <c r="G102" s="5"/>
      <c r="H102" s="17" t="str">
        <f>IF(H76&gt;5.7,"Trascurabile","Non trascurabile")</f>
        <v>Trascurabile</v>
      </c>
      <c r="J102" s="17"/>
      <c r="L102" t="s">
        <v>142</v>
      </c>
    </row>
    <row r="103" spans="2:18" x14ac:dyDescent="0.25">
      <c r="F103" s="16" t="s">
        <v>74</v>
      </c>
      <c r="G103" s="5" t="s">
        <v>145</v>
      </c>
      <c r="H103" s="11">
        <f>$H$40*$H$31*H35^2/2/(1-$H$42^2)</f>
        <v>9819251.7864649016</v>
      </c>
      <c r="J103" s="11"/>
      <c r="L103" t="s">
        <v>143</v>
      </c>
    </row>
    <row r="104" spans="2:18" x14ac:dyDescent="0.25">
      <c r="G104" s="5"/>
      <c r="H104" s="18" t="s">
        <v>75</v>
      </c>
      <c r="J104" s="18"/>
      <c r="L104" t="s">
        <v>144</v>
      </c>
    </row>
    <row r="105" spans="2:18" x14ac:dyDescent="0.25">
      <c r="G105" s="5"/>
    </row>
    <row r="106" spans="2:18" x14ac:dyDescent="0.25">
      <c r="C106" s="19" t="s">
        <v>76</v>
      </c>
      <c r="F106" s="20" t="s">
        <v>77</v>
      </c>
      <c r="G106" s="5"/>
      <c r="H106" s="5" t="s">
        <v>3</v>
      </c>
      <c r="J106" s="5"/>
    </row>
    <row r="107" spans="2:18" x14ac:dyDescent="0.25">
      <c r="E107" s="1"/>
      <c r="F107" t="s">
        <v>66</v>
      </c>
      <c r="G107" s="5" t="s">
        <v>145</v>
      </c>
      <c r="H107" s="11">
        <f>$H$43*H33^3/12/(1-$H$45^2)</f>
        <v>621794.87179487175</v>
      </c>
      <c r="J107" s="11"/>
    </row>
    <row r="108" spans="2:18" x14ac:dyDescent="0.25">
      <c r="E108" s="1"/>
      <c r="G108" s="5"/>
      <c r="H108" s="21" t="str">
        <f>IF(H81&gt;16.7,"Trascurabile","Non trascurabile")</f>
        <v>Non trascurabile</v>
      </c>
      <c r="J108" s="21"/>
      <c r="O108" s="1"/>
      <c r="P108" s="1"/>
      <c r="Q108" s="1"/>
      <c r="R108" s="1"/>
    </row>
    <row r="109" spans="2:18" x14ac:dyDescent="0.25">
      <c r="F109" t="s">
        <v>67</v>
      </c>
      <c r="G109" s="5" t="s">
        <v>145</v>
      </c>
      <c r="H109" s="11">
        <f>$H$46*H33^3/12/(1-$H$48^2)</f>
        <v>64903846.153846152</v>
      </c>
      <c r="J109" s="11"/>
      <c r="P109" s="21"/>
      <c r="Q109" s="21"/>
      <c r="R109" s="21"/>
    </row>
    <row r="110" spans="2:18" x14ac:dyDescent="0.25">
      <c r="G110" s="5"/>
      <c r="H110" s="21" t="str">
        <f>IF(H82&gt;16.7,"Trascurabile","Non trascurabile")</f>
        <v>Non trascurabile</v>
      </c>
      <c r="J110" s="21"/>
      <c r="O110" s="21"/>
      <c r="P110" s="21"/>
      <c r="Q110" s="21"/>
      <c r="R110" s="21"/>
    </row>
    <row r="111" spans="2:18" x14ac:dyDescent="0.25">
      <c r="C111" t="s">
        <v>78</v>
      </c>
      <c r="E111" s="1"/>
      <c r="F111" s="11"/>
      <c r="G111" s="21"/>
      <c r="H111" s="11"/>
      <c r="L111" s="11"/>
    </row>
    <row r="112" spans="2:18" ht="15.75" x14ac:dyDescent="0.25">
      <c r="E112" s="1"/>
      <c r="F112" s="22" t="s">
        <v>79</v>
      </c>
      <c r="G112" s="21"/>
      <c r="H112" s="5" t="s">
        <v>3</v>
      </c>
      <c r="J112" s="5"/>
      <c r="L112" s="11"/>
    </row>
    <row r="113" spans="2:12" x14ac:dyDescent="0.25">
      <c r="E113" s="1"/>
      <c r="F113" s="11" t="s">
        <v>80</v>
      </c>
      <c r="G113" s="5" t="s">
        <v>145</v>
      </c>
      <c r="H113" s="11">
        <f>H101</f>
        <v>12785.484096959506</v>
      </c>
      <c r="J113" s="11"/>
      <c r="L113" s="11"/>
    </row>
    <row r="114" spans="2:12" x14ac:dyDescent="0.25">
      <c r="E114" s="1"/>
      <c r="F114" s="11"/>
      <c r="G114" s="21"/>
      <c r="L114" s="11"/>
    </row>
    <row r="115" spans="2:12" x14ac:dyDescent="0.25">
      <c r="E115" s="1"/>
      <c r="F115" t="s">
        <v>66</v>
      </c>
      <c r="G115" s="5" t="s">
        <v>145</v>
      </c>
      <c r="H115" s="11">
        <f>H101+H103+H107</f>
        <v>10453832.142356733</v>
      </c>
      <c r="J115" s="11"/>
      <c r="L115" s="11"/>
    </row>
    <row r="116" spans="2:12" x14ac:dyDescent="0.25">
      <c r="E116" s="1"/>
      <c r="F116" t="s">
        <v>67</v>
      </c>
      <c r="G116" s="5" t="s">
        <v>145</v>
      </c>
      <c r="H116" s="11">
        <f>H101+H103+H109</f>
        <v>74735883.424408019</v>
      </c>
      <c r="J116" s="11"/>
      <c r="L116" s="11"/>
    </row>
    <row r="119" spans="2:12" x14ac:dyDescent="0.25">
      <c r="B119" s="9" t="s">
        <v>81</v>
      </c>
      <c r="C119" s="9"/>
      <c r="D119" s="9"/>
      <c r="E119" s="9"/>
    </row>
    <row r="120" spans="2:12" x14ac:dyDescent="0.25">
      <c r="C120" t="s">
        <v>82</v>
      </c>
    </row>
    <row r="121" spans="2:12" x14ac:dyDescent="0.25">
      <c r="C121" t="s">
        <v>83</v>
      </c>
    </row>
    <row r="122" spans="2:12" x14ac:dyDescent="0.25">
      <c r="C122" t="s">
        <v>84</v>
      </c>
    </row>
    <row r="123" spans="2:12" ht="17.25" x14ac:dyDescent="0.25">
      <c r="C123" t="s">
        <v>85</v>
      </c>
      <c r="F123" t="s">
        <v>138</v>
      </c>
      <c r="G123" t="s">
        <v>140</v>
      </c>
      <c r="H123">
        <v>1E-3</v>
      </c>
    </row>
    <row r="124" spans="2:12" x14ac:dyDescent="0.25">
      <c r="F124" s="4" t="s">
        <v>139</v>
      </c>
      <c r="G124" t="s">
        <v>62</v>
      </c>
      <c r="H124">
        <v>4.0600000000000002E-3</v>
      </c>
    </row>
    <row r="126" spans="2:12" x14ac:dyDescent="0.25">
      <c r="E126" t="s">
        <v>86</v>
      </c>
      <c r="F126" s="23" t="s">
        <v>87</v>
      </c>
      <c r="I126" s="5" t="s">
        <v>3</v>
      </c>
    </row>
    <row r="127" spans="2:12" x14ac:dyDescent="0.25">
      <c r="G127" s="1"/>
      <c r="H127" s="20" t="s">
        <v>88</v>
      </c>
      <c r="I127" s="20" t="s">
        <v>93</v>
      </c>
      <c r="J127" s="20" t="s">
        <v>94</v>
      </c>
    </row>
    <row r="128" spans="2:12" ht="18" x14ac:dyDescent="0.35">
      <c r="C128" s="19" t="s">
        <v>89</v>
      </c>
      <c r="E128" s="1"/>
      <c r="F128" t="s">
        <v>13</v>
      </c>
      <c r="G128" s="1" t="s">
        <v>6</v>
      </c>
      <c r="H128" s="24">
        <f>$H$124*$H$123*H$14^4/H$113</f>
        <v>1607.5848082191781</v>
      </c>
      <c r="I128" s="24">
        <f>$H$124*$H$123*H$14^4/H$115</f>
        <v>1.9661450193676366</v>
      </c>
      <c r="J128" s="24">
        <f>$H$124*$H$123*H$14^4/H$116</f>
        <v>0.27501849256641481</v>
      </c>
    </row>
    <row r="129" spans="2:14" ht="18" x14ac:dyDescent="0.35">
      <c r="C129" s="27" t="s">
        <v>90</v>
      </c>
      <c r="E129" s="1"/>
      <c r="F129" s="25" t="s">
        <v>134</v>
      </c>
      <c r="G129" s="1"/>
      <c r="H129" s="26" t="str">
        <f>IF(H128&gt;H$14/2,"Senza senso",H128/H$14)</f>
        <v>Senza senso</v>
      </c>
      <c r="I129" s="26">
        <f>IF(I128&gt;H$14/2,"Senza senso",I128/H$14)</f>
        <v>1.3107633462450911E-3</v>
      </c>
      <c r="J129" s="26">
        <f>IF(J128&gt;H$14/2,"Senza senso",J128/H$14)</f>
        <v>1.8334566171094321E-4</v>
      </c>
    </row>
    <row r="130" spans="2:14" s="31" customFormat="1" x14ac:dyDescent="0.25">
      <c r="C130" s="27" t="s">
        <v>91</v>
      </c>
      <c r="H130" s="32"/>
      <c r="I130" s="32"/>
      <c r="J130" s="33"/>
      <c r="K130" s="32"/>
      <c r="L130" s="32"/>
      <c r="M130" s="32"/>
    </row>
    <row r="131" spans="2:14" s="34" customFormat="1" x14ac:dyDescent="0.25">
      <c r="G131" s="38" t="s">
        <v>104</v>
      </c>
      <c r="I131" s="39"/>
      <c r="M131" s="35"/>
    </row>
    <row r="132" spans="2:14" x14ac:dyDescent="0.25">
      <c r="G132" s="5"/>
      <c r="H132" s="37" t="s">
        <v>105</v>
      </c>
      <c r="J132" s="37" t="s">
        <v>106</v>
      </c>
      <c r="L132" s="5"/>
      <c r="N132" s="5"/>
    </row>
    <row r="133" spans="2:14" ht="18" x14ac:dyDescent="0.35">
      <c r="C133" s="19" t="s">
        <v>155</v>
      </c>
      <c r="F133" t="s">
        <v>13</v>
      </c>
      <c r="G133" s="1" t="s">
        <v>6</v>
      </c>
      <c r="H133" s="24">
        <v>4.1260000000000003</v>
      </c>
      <c r="I133" s="24"/>
      <c r="J133" s="24">
        <v>5.7279999999999998</v>
      </c>
      <c r="N133" s="24"/>
    </row>
    <row r="134" spans="2:14" ht="18" x14ac:dyDescent="0.35">
      <c r="C134" s="27" t="s">
        <v>146</v>
      </c>
      <c r="F134" s="25" t="s">
        <v>134</v>
      </c>
      <c r="G134" s="1"/>
      <c r="H134" s="26">
        <f>IF(H133&gt;H$14/2,"Senza senso",H133/H$14)</f>
        <v>2.7506666666666669E-3</v>
      </c>
      <c r="I134" s="24"/>
      <c r="J134" s="26">
        <f>IF(J133&gt;H$14/2,"Senza senso",J133/H$14)</f>
        <v>3.8186666666666664E-3</v>
      </c>
      <c r="N134" s="26"/>
    </row>
    <row r="135" spans="2:14" x14ac:dyDescent="0.25">
      <c r="G135" s="1"/>
      <c r="H135" s="24"/>
      <c r="I135" s="24"/>
      <c r="J135" s="24"/>
      <c r="N135" s="24"/>
    </row>
    <row r="136" spans="2:14" x14ac:dyDescent="0.25">
      <c r="G136" s="1"/>
      <c r="H136" s="24"/>
      <c r="I136" s="24"/>
      <c r="J136" s="24"/>
      <c r="N136" s="24"/>
    </row>
    <row r="137" spans="2:14" x14ac:dyDescent="0.25">
      <c r="G137" s="1"/>
      <c r="H137" s="24"/>
      <c r="I137" s="24"/>
      <c r="J137" s="24"/>
      <c r="N137" s="24"/>
    </row>
    <row r="138" spans="2:14" ht="18" x14ac:dyDescent="0.35">
      <c r="B138" s="9" t="s">
        <v>346</v>
      </c>
      <c r="C138" s="9"/>
      <c r="D138" s="9"/>
      <c r="F138" s="3" t="s">
        <v>170</v>
      </c>
      <c r="G138" s="1" t="s">
        <v>6</v>
      </c>
      <c r="H138" s="3">
        <f>H14/250</f>
        <v>6</v>
      </c>
      <c r="I138" s="25" t="str">
        <f>IF(H133&lt;H138,"OK","NOT OK")</f>
        <v>OK</v>
      </c>
      <c r="J138" s="24"/>
      <c r="N138" s="24"/>
    </row>
    <row r="139" spans="2:14" x14ac:dyDescent="0.25">
      <c r="F139" s="25"/>
      <c r="G139" s="1"/>
      <c r="H139" s="26"/>
      <c r="I139" s="24"/>
      <c r="J139" s="26"/>
      <c r="N139" s="26"/>
    </row>
    <row r="140" spans="2:14" x14ac:dyDescent="0.25">
      <c r="B140" s="9" t="s">
        <v>347</v>
      </c>
      <c r="C140" s="9"/>
      <c r="D140" s="9"/>
      <c r="E140" s="9"/>
      <c r="F140" s="25"/>
      <c r="H140" s="77" t="s">
        <v>202</v>
      </c>
      <c r="I140" s="26"/>
      <c r="J140" s="24"/>
      <c r="K140" s="77" t="s">
        <v>203</v>
      </c>
      <c r="N140" s="26"/>
    </row>
    <row r="141" spans="2:14" ht="18" x14ac:dyDescent="0.35">
      <c r="H141" s="78" t="s">
        <v>212</v>
      </c>
      <c r="I141" s="74"/>
      <c r="J141" s="78" t="s">
        <v>201</v>
      </c>
      <c r="K141" s="78" t="s">
        <v>212</v>
      </c>
      <c r="L141" s="74"/>
      <c r="M141" s="78" t="s">
        <v>201</v>
      </c>
      <c r="N141" s="26"/>
    </row>
    <row r="142" spans="2:14" s="34" customFormat="1" x14ac:dyDescent="0.25">
      <c r="F142" s="1"/>
      <c r="H142" s="78" t="s">
        <v>254</v>
      </c>
      <c r="I142" s="74" t="s">
        <v>256</v>
      </c>
      <c r="J142" s="78" t="s">
        <v>255</v>
      </c>
      <c r="K142" s="78" t="s">
        <v>254</v>
      </c>
      <c r="L142" s="74" t="s">
        <v>256</v>
      </c>
      <c r="M142" s="78" t="s">
        <v>255</v>
      </c>
      <c r="N142" s="24"/>
    </row>
    <row r="143" spans="2:14" s="34" customFormat="1" x14ac:dyDescent="0.25">
      <c r="F143" s="34" t="s">
        <v>334</v>
      </c>
      <c r="G143" s="98" t="s">
        <v>34</v>
      </c>
      <c r="H143" s="97">
        <v>-5.53</v>
      </c>
      <c r="I143" s="95" t="s">
        <v>336</v>
      </c>
      <c r="J143" s="96">
        <v>8.6999999999999993</v>
      </c>
      <c r="K143" s="97">
        <v>-8.6999999999999993</v>
      </c>
      <c r="L143" s="95" t="s">
        <v>338</v>
      </c>
      <c r="M143" s="96">
        <v>5.66</v>
      </c>
      <c r="N143" s="26"/>
    </row>
    <row r="144" spans="2:14" s="34" customFormat="1" x14ac:dyDescent="0.25">
      <c r="F144" s="34" t="s">
        <v>335</v>
      </c>
      <c r="G144" s="98" t="s">
        <v>34</v>
      </c>
      <c r="H144" s="77">
        <v>-5.32</v>
      </c>
      <c r="I144" s="72" t="s">
        <v>337</v>
      </c>
      <c r="J144" s="96">
        <v>8.6</v>
      </c>
      <c r="K144" s="77">
        <v>-8.61</v>
      </c>
      <c r="L144" s="72" t="s">
        <v>339</v>
      </c>
      <c r="M144" s="96">
        <v>5.37</v>
      </c>
      <c r="N144" s="24"/>
    </row>
    <row r="146" spans="2:16" ht="18" x14ac:dyDescent="0.35">
      <c r="B146" s="9" t="s">
        <v>348</v>
      </c>
      <c r="C146" s="9"/>
      <c r="D146" s="9"/>
      <c r="E146" s="9"/>
      <c r="H146" s="78" t="s">
        <v>212</v>
      </c>
      <c r="I146" s="74"/>
      <c r="J146" s="78" t="s">
        <v>201</v>
      </c>
      <c r="K146" s="78"/>
      <c r="L146" s="74"/>
      <c r="M146" s="78"/>
    </row>
    <row r="147" spans="2:16" x14ac:dyDescent="0.25">
      <c r="C147" s="34"/>
      <c r="D147" s="34"/>
      <c r="E147" s="34"/>
      <c r="F147" s="1"/>
      <c r="H147" s="78" t="s">
        <v>254</v>
      </c>
      <c r="I147" s="74" t="s">
        <v>256</v>
      </c>
      <c r="J147" s="78" t="s">
        <v>255</v>
      </c>
      <c r="K147" s="78"/>
      <c r="L147" s="74"/>
      <c r="M147" s="78"/>
    </row>
    <row r="148" spans="2:16" x14ac:dyDescent="0.25">
      <c r="C148" s="34"/>
      <c r="D148" s="34"/>
      <c r="E148" s="34"/>
      <c r="F148" s="34" t="s">
        <v>334</v>
      </c>
      <c r="G148" s="98" t="s">
        <v>34</v>
      </c>
      <c r="H148" s="97">
        <v>-2.87</v>
      </c>
      <c r="I148" s="95" t="s">
        <v>340</v>
      </c>
      <c r="J148" s="96">
        <v>2.85</v>
      </c>
      <c r="K148" s="97"/>
      <c r="L148" s="95"/>
      <c r="M148" s="96"/>
    </row>
    <row r="149" spans="2:16" x14ac:dyDescent="0.25">
      <c r="C149" s="34"/>
      <c r="D149" s="34"/>
      <c r="E149" s="34"/>
      <c r="F149" s="34" t="s">
        <v>335</v>
      </c>
      <c r="G149" s="98" t="s">
        <v>34</v>
      </c>
      <c r="H149" s="77">
        <v>-2.78</v>
      </c>
      <c r="I149" s="72"/>
      <c r="J149" s="96">
        <v>2.75</v>
      </c>
      <c r="K149" s="77"/>
      <c r="L149" s="72"/>
      <c r="M149" s="96"/>
    </row>
    <row r="151" spans="2:16" ht="18" x14ac:dyDescent="0.35">
      <c r="B151" s="9" t="s">
        <v>349</v>
      </c>
      <c r="C151" s="9"/>
      <c r="D151" s="9"/>
      <c r="E151" s="9"/>
      <c r="F151" s="54"/>
      <c r="G151" s="86"/>
      <c r="H151" s="3" t="s">
        <v>341</v>
      </c>
      <c r="I151" s="3" t="s">
        <v>222</v>
      </c>
      <c r="J151" s="3" t="s">
        <v>223</v>
      </c>
      <c r="K151" s="3" t="s">
        <v>224</v>
      </c>
      <c r="L151" s="3" t="s">
        <v>225</v>
      </c>
      <c r="M151" s="3" t="s">
        <v>226</v>
      </c>
      <c r="N151" s="3" t="s">
        <v>227</v>
      </c>
      <c r="P151" t="s">
        <v>353</v>
      </c>
    </row>
    <row r="152" spans="2:16" x14ac:dyDescent="0.25">
      <c r="F152" t="s">
        <v>228</v>
      </c>
      <c r="G152" s="3" t="s">
        <v>234</v>
      </c>
      <c r="H152" s="11">
        <v>80</v>
      </c>
      <c r="I152" s="3">
        <v>18.71</v>
      </c>
      <c r="J152" s="3">
        <v>18.66</v>
      </c>
      <c r="K152" s="3">
        <v>-4.2</v>
      </c>
      <c r="L152" s="3">
        <v>31.64</v>
      </c>
      <c r="M152" s="3">
        <v>-0.21</v>
      </c>
      <c r="N152" s="3">
        <v>0.17</v>
      </c>
    </row>
    <row r="153" spans="2:16" x14ac:dyDescent="0.25">
      <c r="F153" t="s">
        <v>221</v>
      </c>
      <c r="G153" s="11">
        <v>162</v>
      </c>
      <c r="H153" s="11">
        <v>81</v>
      </c>
      <c r="I153" s="3">
        <v>18.8</v>
      </c>
      <c r="J153" s="3">
        <v>-18.8</v>
      </c>
      <c r="K153" s="3">
        <v>-4.04</v>
      </c>
      <c r="L153" s="3">
        <v>31.84</v>
      </c>
      <c r="M153" s="3">
        <v>-0.82</v>
      </c>
      <c r="N153" s="3">
        <v>0.16</v>
      </c>
    </row>
    <row r="154" spans="2:16" x14ac:dyDescent="0.25">
      <c r="G154" s="3"/>
      <c r="H154" s="11">
        <v>713</v>
      </c>
      <c r="I154" s="3">
        <v>4.1100000000000003</v>
      </c>
      <c r="J154" s="3">
        <v>-18.39</v>
      </c>
      <c r="K154" s="3">
        <v>-18.39</v>
      </c>
      <c r="L154" s="3">
        <v>0.16</v>
      </c>
      <c r="M154" s="3">
        <v>0.82</v>
      </c>
      <c r="N154" s="3">
        <v>32.39</v>
      </c>
    </row>
    <row r="155" spans="2:16" x14ac:dyDescent="0.25">
      <c r="B155" s="19" t="s">
        <v>342</v>
      </c>
      <c r="G155" s="3"/>
      <c r="H155" s="11">
        <v>714</v>
      </c>
      <c r="I155" s="3">
        <v>4.2699999999999996</v>
      </c>
      <c r="J155" s="3">
        <v>18.5</v>
      </c>
      <c r="K155" s="3">
        <v>-18.55</v>
      </c>
      <c r="L155" s="3">
        <v>0.16</v>
      </c>
      <c r="M155" s="3">
        <v>0.2</v>
      </c>
      <c r="N155" s="3">
        <v>32.159999999999997</v>
      </c>
    </row>
    <row r="156" spans="2:16" x14ac:dyDescent="0.25">
      <c r="B156" s="19" t="s">
        <v>350</v>
      </c>
      <c r="G156" s="3"/>
      <c r="H156" s="81" t="s">
        <v>293</v>
      </c>
      <c r="I156" s="85">
        <f>I152+I153+I154+I155</f>
        <v>45.89</v>
      </c>
      <c r="J156" s="85">
        <f t="shared" ref="J156:N156" si="0">J152+J153+J154+J155</f>
        <v>-3.0000000000001137E-2</v>
      </c>
      <c r="K156" s="85">
        <f t="shared" si="0"/>
        <v>-45.180000000000007</v>
      </c>
      <c r="L156" s="85">
        <f t="shared" si="0"/>
        <v>63.8</v>
      </c>
      <c r="M156" s="85">
        <f t="shared" si="0"/>
        <v>-1.0000000000000064E-2</v>
      </c>
      <c r="N156" s="85">
        <f t="shared" si="0"/>
        <v>64.88</v>
      </c>
    </row>
    <row r="157" spans="2:16" x14ac:dyDescent="0.25">
      <c r="B157" s="19" t="s">
        <v>343</v>
      </c>
      <c r="G157" s="3" t="s">
        <v>351</v>
      </c>
      <c r="H157" s="81" t="s">
        <v>294</v>
      </c>
      <c r="I157" s="3">
        <f>(I156^2+K156^2)^0.5*4/PI()/$H$10^2</f>
        <v>9.1104776262389322</v>
      </c>
      <c r="J157" s="3"/>
      <c r="K157" t="s">
        <v>352</v>
      </c>
      <c r="L157" s="81" t="s">
        <v>294</v>
      </c>
      <c r="M157" s="3">
        <f>(I156^2+K156^2)^0.5*2/PI()/$H$10^2</f>
        <v>4.5552388131194661</v>
      </c>
      <c r="N157" s="3"/>
    </row>
    <row r="158" spans="2:16" x14ac:dyDescent="0.25">
      <c r="B158" s="19" t="s">
        <v>344</v>
      </c>
      <c r="G158" s="3"/>
      <c r="H158" s="81" t="s">
        <v>299</v>
      </c>
      <c r="I158" s="3">
        <f>J156*4/PI()/$H$10^2</f>
        <v>-4.2441318157840366E-3</v>
      </c>
      <c r="J158" s="3"/>
      <c r="L158" s="81" t="s">
        <v>299</v>
      </c>
      <c r="M158" s="3">
        <f>J156*2/PI()/$H$10^2</f>
        <v>-2.1220659078920183E-3</v>
      </c>
      <c r="N158" s="3"/>
    </row>
    <row r="159" spans="2:16" x14ac:dyDescent="0.25">
      <c r="B159" s="19" t="s">
        <v>345</v>
      </c>
      <c r="F159" t="s">
        <v>228</v>
      </c>
      <c r="G159" s="3" t="s">
        <v>236</v>
      </c>
      <c r="H159" s="11">
        <v>159</v>
      </c>
      <c r="I159" s="3">
        <v>8.1199999999999992</v>
      </c>
      <c r="J159" s="3">
        <v>8.1</v>
      </c>
      <c r="K159" s="3">
        <v>-1.82</v>
      </c>
      <c r="L159" s="3">
        <v>13.09</v>
      </c>
      <c r="M159" s="3">
        <v>0.06</v>
      </c>
      <c r="N159" s="3">
        <v>0.08</v>
      </c>
    </row>
    <row r="160" spans="2:16" x14ac:dyDescent="0.25">
      <c r="F160" t="s">
        <v>221</v>
      </c>
      <c r="G160" s="11">
        <v>322</v>
      </c>
      <c r="H160" s="11">
        <v>160</v>
      </c>
      <c r="I160" s="3">
        <v>8.14</v>
      </c>
      <c r="J160" s="3">
        <v>-8.14</v>
      </c>
      <c r="K160" s="3">
        <v>-1.79</v>
      </c>
      <c r="L160" s="3">
        <v>13.93</v>
      </c>
      <c r="M160" s="3">
        <v>-0.02</v>
      </c>
      <c r="N160" s="3">
        <v>0.06</v>
      </c>
    </row>
    <row r="161" spans="6:14" x14ac:dyDescent="0.25">
      <c r="G161" s="3"/>
      <c r="H161" s="11">
        <v>634</v>
      </c>
      <c r="I161" s="3">
        <v>1.8</v>
      </c>
      <c r="J161" s="3">
        <v>-8.1</v>
      </c>
      <c r="K161" s="3">
        <v>-8.11</v>
      </c>
      <c r="L161" s="3">
        <v>0.06</v>
      </c>
      <c r="M161" s="3">
        <v>0.21</v>
      </c>
      <c r="N161" s="3">
        <v>13.98</v>
      </c>
    </row>
    <row r="162" spans="6:14" x14ac:dyDescent="0.25">
      <c r="G162" s="3"/>
      <c r="H162" s="11">
        <v>635</v>
      </c>
      <c r="I162" s="3">
        <v>1.82</v>
      </c>
      <c r="J162" s="3">
        <v>8.08</v>
      </c>
      <c r="K162" s="3">
        <v>-8.1</v>
      </c>
      <c r="L162" s="3">
        <v>0.08</v>
      </c>
      <c r="M162" s="3">
        <v>0.06</v>
      </c>
      <c r="N162" s="3">
        <v>13.95</v>
      </c>
    </row>
    <row r="163" spans="6:14" x14ac:dyDescent="0.25">
      <c r="G163" s="3"/>
      <c r="H163" s="81" t="s">
        <v>293</v>
      </c>
      <c r="I163" s="85">
        <f>I159+I160+I161+I162</f>
        <v>19.88</v>
      </c>
      <c r="J163" s="85">
        <f t="shared" ref="J163:N163" si="1">J159+J160+J161+J162</f>
        <v>-6.0000000000000497E-2</v>
      </c>
      <c r="K163" s="85">
        <f t="shared" si="1"/>
        <v>-19.82</v>
      </c>
      <c r="L163" s="85">
        <f t="shared" si="1"/>
        <v>27.159999999999997</v>
      </c>
      <c r="M163" s="85">
        <f t="shared" si="1"/>
        <v>0.31</v>
      </c>
      <c r="N163" s="85">
        <f t="shared" si="1"/>
        <v>28.07</v>
      </c>
    </row>
    <row r="164" spans="6:14" x14ac:dyDescent="0.25">
      <c r="G164" s="3" t="s">
        <v>351</v>
      </c>
      <c r="H164" s="81" t="s">
        <v>294</v>
      </c>
      <c r="I164" s="3">
        <f>(I163^2+K163^2)^0.5*4/PI()/$H$10^2</f>
        <v>3.9713998413112148</v>
      </c>
      <c r="J164" s="3"/>
      <c r="K164" t="s">
        <v>352</v>
      </c>
      <c r="L164" s="81" t="s">
        <v>294</v>
      </c>
      <c r="M164" s="3">
        <f>(I163^2+K163^2)^0.5*2/PI()/$H$10^2</f>
        <v>1.9856999206556074</v>
      </c>
      <c r="N164" s="3"/>
    </row>
    <row r="165" spans="6:14" x14ac:dyDescent="0.25">
      <c r="G165" s="3"/>
      <c r="H165" s="81" t="s">
        <v>299</v>
      </c>
      <c r="I165" s="3">
        <f>J163*4/PI()/$H$10^2</f>
        <v>-8.4882636315678217E-3</v>
      </c>
      <c r="J165" s="3"/>
      <c r="L165" s="81" t="s">
        <v>299</v>
      </c>
      <c r="M165" s="3">
        <f>J163*2/PI()/$H$10^2</f>
        <v>-4.2441318157839109E-3</v>
      </c>
    </row>
    <row r="167" spans="6:14" ht="18" x14ac:dyDescent="0.35">
      <c r="F167" s="54"/>
      <c r="G167" s="86"/>
      <c r="H167" s="3" t="s">
        <v>341</v>
      </c>
      <c r="I167" s="3" t="s">
        <v>222</v>
      </c>
      <c r="J167" s="3" t="s">
        <v>223</v>
      </c>
      <c r="K167" s="3" t="s">
        <v>224</v>
      </c>
      <c r="L167" s="3" t="s">
        <v>225</v>
      </c>
      <c r="M167" s="3" t="s">
        <v>226</v>
      </c>
      <c r="N167" s="3" t="s">
        <v>227</v>
      </c>
    </row>
    <row r="168" spans="6:14" x14ac:dyDescent="0.25">
      <c r="F168" t="s">
        <v>228</v>
      </c>
      <c r="G168" s="3" t="s">
        <v>248</v>
      </c>
      <c r="H168" s="11">
        <v>80</v>
      </c>
      <c r="I168" s="3">
        <v>-18.75</v>
      </c>
      <c r="J168" s="3">
        <v>18.78</v>
      </c>
      <c r="K168" s="3">
        <v>4.2</v>
      </c>
      <c r="L168" s="3">
        <v>31.64</v>
      </c>
      <c r="M168" s="3">
        <v>0.21</v>
      </c>
      <c r="N168" s="3">
        <v>0.17</v>
      </c>
    </row>
    <row r="169" spans="6:14" x14ac:dyDescent="0.25">
      <c r="F169" t="s">
        <v>221</v>
      </c>
      <c r="G169" s="11">
        <v>161</v>
      </c>
      <c r="H169" s="11">
        <v>81</v>
      </c>
      <c r="I169" s="3">
        <v>-18.760000000000002</v>
      </c>
      <c r="J169" s="3">
        <v>-18.670000000000002</v>
      </c>
      <c r="K169" s="3">
        <v>4.04</v>
      </c>
      <c r="L169" s="3">
        <v>31.84</v>
      </c>
      <c r="M169" s="3">
        <v>0.82</v>
      </c>
      <c r="N169" s="3">
        <v>0.16</v>
      </c>
    </row>
    <row r="170" spans="6:14" x14ac:dyDescent="0.25">
      <c r="G170" s="3"/>
      <c r="H170" s="11">
        <v>713</v>
      </c>
      <c r="I170" s="3">
        <v>-4.1100000000000003</v>
      </c>
      <c r="J170" s="3">
        <v>-18.260000000000002</v>
      </c>
      <c r="K170" s="3">
        <v>18.350000000000001</v>
      </c>
      <c r="L170" s="3">
        <v>0.16</v>
      </c>
      <c r="M170" s="3">
        <v>-0.82</v>
      </c>
      <c r="N170" s="3">
        <v>32.39</v>
      </c>
    </row>
    <row r="171" spans="6:14" x14ac:dyDescent="0.25">
      <c r="G171" s="3"/>
      <c r="H171" s="11">
        <v>714</v>
      </c>
      <c r="I171" s="3">
        <v>-4.2699999999999996</v>
      </c>
      <c r="J171" s="3">
        <v>18.62</v>
      </c>
      <c r="K171" s="3">
        <v>18.59</v>
      </c>
      <c r="L171" s="3">
        <v>0.16</v>
      </c>
      <c r="M171" s="3">
        <v>-0.2</v>
      </c>
      <c r="N171" s="3">
        <v>32.159999999999997</v>
      </c>
    </row>
    <row r="172" spans="6:14" x14ac:dyDescent="0.25">
      <c r="G172" s="3"/>
      <c r="H172" s="81" t="s">
        <v>293</v>
      </c>
      <c r="I172" s="85">
        <f>I168+I169+I170+I171</f>
        <v>-45.89</v>
      </c>
      <c r="J172" s="85">
        <f t="shared" ref="J172:N172" si="2">J168+J169+J170+J171</f>
        <v>0.46999999999999886</v>
      </c>
      <c r="K172" s="85">
        <f t="shared" si="2"/>
        <v>45.180000000000007</v>
      </c>
      <c r="L172" s="85">
        <f t="shared" si="2"/>
        <v>63.8</v>
      </c>
      <c r="M172" s="85">
        <f t="shared" si="2"/>
        <v>1.0000000000000064E-2</v>
      </c>
      <c r="N172" s="85">
        <f t="shared" si="2"/>
        <v>64.88</v>
      </c>
    </row>
    <row r="173" spans="6:14" x14ac:dyDescent="0.25">
      <c r="G173" s="3" t="s">
        <v>351</v>
      </c>
      <c r="H173" s="81" t="s">
        <v>294</v>
      </c>
      <c r="I173" s="3">
        <f>(I172^2+K172^2)^0.5*4/PI()/$H$10^2</f>
        <v>9.1104776262389322</v>
      </c>
      <c r="J173" s="3"/>
      <c r="K173" t="s">
        <v>352</v>
      </c>
      <c r="L173" s="81" t="s">
        <v>294</v>
      </c>
      <c r="M173" s="3">
        <f>(I172^2+K172^2)^0.5*2/PI()/$H$10^2</f>
        <v>4.5552388131194661</v>
      </c>
      <c r="N173" s="3"/>
    </row>
    <row r="174" spans="6:14" x14ac:dyDescent="0.25">
      <c r="G174" s="3"/>
      <c r="H174" s="81" t="s">
        <v>299</v>
      </c>
      <c r="I174" s="3">
        <f>J172*4/PI()/$H$10^2</f>
        <v>6.6491398447280553E-2</v>
      </c>
      <c r="J174" s="3"/>
      <c r="L174" s="81" t="s">
        <v>299</v>
      </c>
      <c r="M174" s="3">
        <f>J172*2/PI()/$H$10^2</f>
        <v>3.3245699223640277E-2</v>
      </c>
      <c r="N174" s="3"/>
    </row>
    <row r="175" spans="6:14" x14ac:dyDescent="0.25">
      <c r="F175" t="s">
        <v>228</v>
      </c>
      <c r="G175" s="3" t="s">
        <v>249</v>
      </c>
      <c r="H175" s="11">
        <v>159</v>
      </c>
      <c r="I175" s="3">
        <v>-8.16</v>
      </c>
      <c r="J175" s="3">
        <v>8.23</v>
      </c>
      <c r="K175" s="3">
        <v>1.82</v>
      </c>
      <c r="L175" s="3">
        <v>13.9</v>
      </c>
      <c r="M175" s="3">
        <v>-0.06</v>
      </c>
      <c r="N175" s="3">
        <v>0.08</v>
      </c>
    </row>
    <row r="176" spans="6:14" x14ac:dyDescent="0.25">
      <c r="F176" t="s">
        <v>221</v>
      </c>
      <c r="G176" s="11">
        <v>321</v>
      </c>
      <c r="H176" s="11">
        <v>160</v>
      </c>
      <c r="I176" s="3">
        <v>-8.11</v>
      </c>
      <c r="J176" s="3">
        <v>-8.01</v>
      </c>
      <c r="K176" s="3">
        <v>1.79</v>
      </c>
      <c r="L176" s="3">
        <v>13.93</v>
      </c>
      <c r="M176" s="3">
        <v>0.2</v>
      </c>
      <c r="N176" s="3">
        <v>0.06</v>
      </c>
    </row>
    <row r="177" spans="7:14" x14ac:dyDescent="0.25">
      <c r="G177" s="3"/>
      <c r="H177" s="11">
        <v>634</v>
      </c>
      <c r="I177" s="3">
        <v>-1.8</v>
      </c>
      <c r="J177" s="3">
        <v>-7.97</v>
      </c>
      <c r="K177" s="3">
        <v>8.06</v>
      </c>
      <c r="L177" s="3">
        <v>0.06</v>
      </c>
      <c r="M177" s="3">
        <v>-0.2</v>
      </c>
      <c r="N177" s="3">
        <v>13.98</v>
      </c>
    </row>
    <row r="178" spans="7:14" x14ac:dyDescent="0.25">
      <c r="G178" s="3"/>
      <c r="H178" s="11">
        <v>635</v>
      </c>
      <c r="I178" s="3">
        <v>-1.82</v>
      </c>
      <c r="J178" s="3">
        <v>8.2100000000000009</v>
      </c>
      <c r="K178" s="3">
        <v>8.15</v>
      </c>
      <c r="L178" s="3">
        <v>0.08</v>
      </c>
      <c r="M178" s="3">
        <v>0.06</v>
      </c>
      <c r="N178" s="3">
        <v>13.95</v>
      </c>
    </row>
    <row r="179" spans="7:14" x14ac:dyDescent="0.25">
      <c r="G179" s="3"/>
      <c r="H179" s="81" t="s">
        <v>293</v>
      </c>
      <c r="I179" s="85">
        <f>I175+I176+I177+I178</f>
        <v>-19.89</v>
      </c>
      <c r="J179" s="85">
        <f t="shared" ref="J179:N179" si="3">J175+J176+J177+J178</f>
        <v>0.46000000000000174</v>
      </c>
      <c r="K179" s="85">
        <f t="shared" si="3"/>
        <v>19.82</v>
      </c>
      <c r="L179" s="85">
        <f t="shared" si="3"/>
        <v>27.969999999999995</v>
      </c>
      <c r="M179" s="85">
        <f t="shared" si="3"/>
        <v>0</v>
      </c>
      <c r="N179" s="85">
        <f t="shared" si="3"/>
        <v>28.07</v>
      </c>
    </row>
    <row r="180" spans="7:14" x14ac:dyDescent="0.25">
      <c r="G180" s="3" t="s">
        <v>351</v>
      </c>
      <c r="H180" s="81" t="s">
        <v>294</v>
      </c>
      <c r="I180" s="3">
        <f>(I179^2+K179^2)^0.5*4/PI()/$H$10^2</f>
        <v>3.9724018290718117</v>
      </c>
      <c r="J180" s="3"/>
      <c r="K180" t="s">
        <v>352</v>
      </c>
      <c r="L180" s="81" t="s">
        <v>294</v>
      </c>
      <c r="M180" s="3">
        <f>(I179^2+K179^2)^0.5*2/PI()/$H$10^2</f>
        <v>1.9862009145359059</v>
      </c>
      <c r="N180" s="3"/>
    </row>
    <row r="181" spans="7:14" x14ac:dyDescent="0.25">
      <c r="G181" s="3"/>
      <c r="H181" s="81" t="s">
        <v>299</v>
      </c>
      <c r="I181" s="3">
        <f>J179*4/PI()/$H$10^2</f>
        <v>6.507668784201967E-2</v>
      </c>
      <c r="J181" s="3"/>
      <c r="L181" s="81" t="s">
        <v>299</v>
      </c>
      <c r="M181" s="3">
        <f>J179*2/PI()/$H$10^2</f>
        <v>3.2538343921009835E-2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C6133-50A7-467A-A647-9C2015BEFCB6}">
  <dimension ref="B1:R486"/>
  <sheetViews>
    <sheetView topLeftCell="A462" zoomScale="70" zoomScaleNormal="70" workbookViewId="0">
      <selection activeCell="C28" sqref="C28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120</v>
      </c>
    </row>
    <row r="3" spans="2:15" x14ac:dyDescent="0.25">
      <c r="B3" t="s">
        <v>121</v>
      </c>
    </row>
    <row r="4" spans="2:15" x14ac:dyDescent="0.25">
      <c r="B4" t="s">
        <v>0</v>
      </c>
    </row>
    <row r="5" spans="2:15" x14ac:dyDescent="0.25">
      <c r="B5" t="s">
        <v>1</v>
      </c>
    </row>
    <row r="6" spans="2:15" x14ac:dyDescent="0.25">
      <c r="K6" s="12" t="s">
        <v>148</v>
      </c>
    </row>
    <row r="7" spans="2:15" x14ac:dyDescent="0.25">
      <c r="H7" t="s">
        <v>2</v>
      </c>
      <c r="I7" t="s">
        <v>3</v>
      </c>
      <c r="J7" t="s">
        <v>147</v>
      </c>
      <c r="K7" s="45" t="s">
        <v>171</v>
      </c>
      <c r="N7" s="2"/>
      <c r="O7" s="2"/>
    </row>
    <row r="8" spans="2:15" ht="18" x14ac:dyDescent="0.35">
      <c r="C8" t="s">
        <v>4</v>
      </c>
      <c r="F8" t="s">
        <v>5</v>
      </c>
      <c r="G8" t="s">
        <v>6</v>
      </c>
      <c r="H8">
        <v>22</v>
      </c>
      <c r="I8">
        <v>30</v>
      </c>
      <c r="J8" s="2">
        <v>26.1</v>
      </c>
      <c r="K8" s="45">
        <v>18.8</v>
      </c>
    </row>
    <row r="9" spans="2:15" ht="18" x14ac:dyDescent="0.35">
      <c r="F9" t="s">
        <v>7</v>
      </c>
      <c r="G9" t="s">
        <v>6</v>
      </c>
      <c r="H9">
        <v>15</v>
      </c>
      <c r="I9">
        <v>15</v>
      </c>
      <c r="J9" s="11">
        <v>15</v>
      </c>
      <c r="K9" s="45">
        <v>15</v>
      </c>
    </row>
    <row r="10" spans="2:15" x14ac:dyDescent="0.25">
      <c r="F10" s="4" t="s">
        <v>8</v>
      </c>
      <c r="G10" t="s">
        <v>9</v>
      </c>
      <c r="H10" s="3">
        <f>ATAN(H9/H8/COS(RADIANS(45)))</f>
        <v>0.76719285630530698</v>
      </c>
      <c r="I10" s="3">
        <f>ATAN(I9/I8/COS(RADIANS(45)))</f>
        <v>0.61547970867038726</v>
      </c>
      <c r="J10" s="3">
        <f>ATAN(J9/J8/COS(RADIANS(45)))</f>
        <v>0.6824770099055304</v>
      </c>
      <c r="K10" s="48">
        <f>ATAN(K9/K8/COS(RADIANS(45)))</f>
        <v>0.84563537849207215</v>
      </c>
      <c r="L10" s="3"/>
    </row>
    <row r="11" spans="2:15" x14ac:dyDescent="0.25">
      <c r="G11" t="s">
        <v>10</v>
      </c>
      <c r="H11" s="3">
        <f>DEGREES(H10)</f>
        <v>43.956912738880717</v>
      </c>
      <c r="I11" s="3">
        <f>DEGREES(I10)</f>
        <v>35.264389682754654</v>
      </c>
      <c r="J11" s="3">
        <f>DEGREES(J10)</f>
        <v>39.103052282294968</v>
      </c>
      <c r="K11" s="48">
        <f>DEGREES(K10)</f>
        <v>48.451338194543681</v>
      </c>
      <c r="L11" s="3"/>
    </row>
    <row r="12" spans="2:15" ht="18" x14ac:dyDescent="0.35">
      <c r="F12" t="s">
        <v>11</v>
      </c>
      <c r="G12" t="s">
        <v>6</v>
      </c>
      <c r="H12" s="3">
        <f>H9/SIN(H10)</f>
        <v>21.61018278497431</v>
      </c>
      <c r="I12" s="3">
        <f>I9/SIN(I10)</f>
        <v>25.98076211353316</v>
      </c>
      <c r="J12" s="3">
        <f>J9/SIN(J10)</f>
        <v>23.782451513668647</v>
      </c>
      <c r="K12" s="48">
        <f>K9/SIN(K10)</f>
        <v>20.042953874117462</v>
      </c>
      <c r="L12" s="3"/>
    </row>
    <row r="13" spans="2:15" x14ac:dyDescent="0.25">
      <c r="K13" s="45"/>
    </row>
    <row r="14" spans="2:15" ht="18" x14ac:dyDescent="0.35">
      <c r="C14" t="s">
        <v>119</v>
      </c>
      <c r="F14" t="s">
        <v>13</v>
      </c>
      <c r="G14" t="s">
        <v>6</v>
      </c>
      <c r="H14">
        <v>308</v>
      </c>
      <c r="I14">
        <v>300</v>
      </c>
      <c r="J14">
        <v>313.2</v>
      </c>
      <c r="K14" s="45">
        <v>300.8</v>
      </c>
    </row>
    <row r="15" spans="2:15" ht="15" customHeight="1" x14ac:dyDescent="0.25">
      <c r="G15" s="1" t="s">
        <v>12</v>
      </c>
      <c r="H15">
        <f>H14/H8</f>
        <v>14</v>
      </c>
      <c r="I15">
        <f>I14/I8</f>
        <v>10</v>
      </c>
      <c r="J15">
        <f>J14/J8</f>
        <v>11.999999999999998</v>
      </c>
      <c r="K15" s="45">
        <f>K14/K8</f>
        <v>16</v>
      </c>
    </row>
    <row r="16" spans="2:15" ht="18" x14ac:dyDescent="0.35">
      <c r="F16" t="s">
        <v>14</v>
      </c>
      <c r="G16" t="s">
        <v>6</v>
      </c>
      <c r="H16">
        <v>594</v>
      </c>
      <c r="I16">
        <v>600</v>
      </c>
      <c r="J16">
        <v>600.29999999999995</v>
      </c>
      <c r="K16" s="45">
        <v>601.6</v>
      </c>
    </row>
    <row r="17" spans="3:11" ht="15" customHeight="1" x14ac:dyDescent="0.25">
      <c r="G17" s="1" t="s">
        <v>12</v>
      </c>
      <c r="H17">
        <f>H16/H8</f>
        <v>27</v>
      </c>
      <c r="I17">
        <f>I16/I8</f>
        <v>20</v>
      </c>
      <c r="J17">
        <f>J16/J8</f>
        <v>22.999999999999996</v>
      </c>
      <c r="K17" s="45">
        <f>K16/K8</f>
        <v>32</v>
      </c>
    </row>
    <row r="18" spans="3:11" ht="18" x14ac:dyDescent="0.35">
      <c r="F18" t="s">
        <v>15</v>
      </c>
      <c r="G18" t="s">
        <v>6</v>
      </c>
      <c r="H18">
        <v>814</v>
      </c>
      <c r="I18">
        <v>810</v>
      </c>
      <c r="J18">
        <v>809.1</v>
      </c>
      <c r="K18" s="45">
        <v>808.4</v>
      </c>
    </row>
    <row r="19" spans="3:11" ht="15" customHeight="1" x14ac:dyDescent="0.25">
      <c r="G19" s="1" t="s">
        <v>12</v>
      </c>
      <c r="H19">
        <f>H18/H8</f>
        <v>37</v>
      </c>
      <c r="I19">
        <f>I18/I8</f>
        <v>27</v>
      </c>
      <c r="J19">
        <f>J18/J8</f>
        <v>31</v>
      </c>
      <c r="K19" s="45">
        <f>K18/K8</f>
        <v>43</v>
      </c>
    </row>
    <row r="20" spans="3:11" ht="18" x14ac:dyDescent="0.35">
      <c r="F20" t="s">
        <v>16</v>
      </c>
      <c r="G20" t="s">
        <v>6</v>
      </c>
      <c r="H20">
        <v>990</v>
      </c>
      <c r="I20">
        <v>990</v>
      </c>
      <c r="J20">
        <v>991.8</v>
      </c>
      <c r="K20" s="45">
        <v>996.4</v>
      </c>
    </row>
    <row r="21" spans="3:11" ht="15" customHeight="1" x14ac:dyDescent="0.25">
      <c r="G21" s="1" t="s">
        <v>12</v>
      </c>
      <c r="H21">
        <f>H20/H8</f>
        <v>45</v>
      </c>
      <c r="I21">
        <f>I20/I8</f>
        <v>33</v>
      </c>
      <c r="J21">
        <f>J20/J8</f>
        <v>37.999999999999993</v>
      </c>
      <c r="K21" s="45">
        <f>K20/K8</f>
        <v>53</v>
      </c>
    </row>
    <row r="22" spans="3:11" ht="15" customHeight="1" x14ac:dyDescent="0.35">
      <c r="F22" s="44" t="s">
        <v>153</v>
      </c>
      <c r="G22" t="s">
        <v>6</v>
      </c>
      <c r="H22">
        <v>1232</v>
      </c>
      <c r="I22">
        <v>1230</v>
      </c>
      <c r="J22">
        <v>1226.7</v>
      </c>
      <c r="K22" s="45">
        <v>1222</v>
      </c>
    </row>
    <row r="23" spans="3:11" ht="15" customHeight="1" x14ac:dyDescent="0.25">
      <c r="F23" s="44"/>
      <c r="G23" s="1" t="s">
        <v>12</v>
      </c>
      <c r="H23">
        <f>H22/H8</f>
        <v>56</v>
      </c>
      <c r="I23">
        <f t="shared" ref="I23:J23" si="0">I22/I8</f>
        <v>41</v>
      </c>
      <c r="J23">
        <f t="shared" si="0"/>
        <v>47</v>
      </c>
      <c r="K23" s="45">
        <f t="shared" ref="K23" si="1">K22/K8</f>
        <v>65</v>
      </c>
    </row>
    <row r="24" spans="3:11" ht="15" customHeight="1" x14ac:dyDescent="0.35">
      <c r="F24" s="44" t="s">
        <v>154</v>
      </c>
      <c r="G24" t="s">
        <v>6</v>
      </c>
      <c r="H24">
        <v>1540</v>
      </c>
      <c r="I24">
        <v>1530</v>
      </c>
      <c r="J24">
        <v>1539.9</v>
      </c>
      <c r="K24" s="45">
        <v>1541.6</v>
      </c>
    </row>
    <row r="25" spans="3:11" ht="15" customHeight="1" x14ac:dyDescent="0.25">
      <c r="G25" s="1" t="s">
        <v>12</v>
      </c>
      <c r="H25">
        <f>H24/H8</f>
        <v>70</v>
      </c>
      <c r="I25">
        <f t="shared" ref="I25:J25" si="2">I24/I8</f>
        <v>51</v>
      </c>
      <c r="J25">
        <f t="shared" si="2"/>
        <v>59</v>
      </c>
      <c r="K25" s="45">
        <f t="shared" ref="K25" si="3">K24/K8</f>
        <v>81.999999999999986</v>
      </c>
    </row>
    <row r="26" spans="3:11" ht="15" customHeight="1" x14ac:dyDescent="0.35">
      <c r="F26" s="44" t="s">
        <v>160</v>
      </c>
      <c r="G26" t="s">
        <v>6</v>
      </c>
      <c r="H26">
        <v>1804</v>
      </c>
      <c r="I26">
        <v>1800</v>
      </c>
      <c r="J26">
        <v>1800.9</v>
      </c>
      <c r="K26" s="45">
        <v>1804.8</v>
      </c>
    </row>
    <row r="27" spans="3:11" ht="15" customHeight="1" x14ac:dyDescent="0.25">
      <c r="G27" s="1" t="s">
        <v>12</v>
      </c>
      <c r="H27">
        <f>H26/H8</f>
        <v>82</v>
      </c>
      <c r="I27">
        <f t="shared" ref="I27:K27" si="4">I26/I8</f>
        <v>60</v>
      </c>
      <c r="J27">
        <f t="shared" si="4"/>
        <v>69</v>
      </c>
      <c r="K27" s="45">
        <f t="shared" si="4"/>
        <v>96</v>
      </c>
    </row>
    <row r="28" spans="3:11" ht="15" customHeight="1" x14ac:dyDescent="0.35">
      <c r="C28" s="47"/>
      <c r="D28" s="47"/>
      <c r="E28" s="47"/>
      <c r="F28" s="44" t="s">
        <v>172</v>
      </c>
      <c r="G28" t="s">
        <v>6</v>
      </c>
      <c r="H28">
        <v>2002</v>
      </c>
      <c r="I28">
        <v>2010</v>
      </c>
      <c r="J28">
        <v>2009.7</v>
      </c>
      <c r="K28" s="45">
        <v>2011.6</v>
      </c>
    </row>
    <row r="29" spans="3:11" ht="15" customHeight="1" x14ac:dyDescent="0.25">
      <c r="G29" s="1" t="s">
        <v>12</v>
      </c>
      <c r="H29">
        <f>H28/H8</f>
        <v>91</v>
      </c>
      <c r="I29">
        <f t="shared" ref="I29:J29" si="5">I28/I8</f>
        <v>67</v>
      </c>
      <c r="J29">
        <f t="shared" si="5"/>
        <v>77</v>
      </c>
      <c r="K29" s="45">
        <f>K28/K8</f>
        <v>106.99999999999999</v>
      </c>
    </row>
    <row r="32" spans="3:11" ht="18" x14ac:dyDescent="0.35">
      <c r="C32" t="s">
        <v>17</v>
      </c>
      <c r="F32" s="5" t="s">
        <v>18</v>
      </c>
      <c r="G32" t="s">
        <v>6</v>
      </c>
      <c r="H32" s="2">
        <v>3</v>
      </c>
      <c r="I32" s="6"/>
      <c r="J32" s="7"/>
      <c r="K32" s="1"/>
    </row>
    <row r="33" spans="2:11" ht="18" x14ac:dyDescent="0.35">
      <c r="F33" s="5" t="s">
        <v>19</v>
      </c>
      <c r="G33" t="s">
        <v>6</v>
      </c>
      <c r="H33" s="2">
        <v>3.5</v>
      </c>
      <c r="I33" s="6"/>
      <c r="J33" s="7"/>
      <c r="K33" s="1"/>
    </row>
    <row r="34" spans="2:11" ht="18" x14ac:dyDescent="0.35">
      <c r="F34" s="5" t="s">
        <v>20</v>
      </c>
      <c r="G34" t="s">
        <v>6</v>
      </c>
      <c r="H34" s="2">
        <v>4</v>
      </c>
      <c r="I34" s="6"/>
      <c r="J34" s="7"/>
      <c r="K34" s="1"/>
    </row>
    <row r="35" spans="2:11" ht="18" x14ac:dyDescent="0.35">
      <c r="F35" s="5" t="s">
        <v>149</v>
      </c>
      <c r="G35" t="s">
        <v>6</v>
      </c>
      <c r="H35" s="2">
        <v>5</v>
      </c>
      <c r="I35" s="6"/>
      <c r="J35" s="7"/>
      <c r="K35" s="1"/>
    </row>
    <row r="36" spans="2:11" ht="18" x14ac:dyDescent="0.35">
      <c r="C36" t="s">
        <v>21</v>
      </c>
      <c r="F36" t="s">
        <v>99</v>
      </c>
      <c r="G36" t="s">
        <v>6</v>
      </c>
      <c r="H36" s="2">
        <v>1</v>
      </c>
      <c r="I36" s="2"/>
      <c r="K36" s="2"/>
    </row>
    <row r="37" spans="2:11" x14ac:dyDescent="0.25">
      <c r="F37" s="8" t="s">
        <v>100</v>
      </c>
      <c r="I37" s="2"/>
      <c r="K37" s="2"/>
    </row>
    <row r="38" spans="2:11" x14ac:dyDescent="0.25">
      <c r="C38" t="s">
        <v>23</v>
      </c>
      <c r="F38" t="s">
        <v>24</v>
      </c>
      <c r="G38" t="s">
        <v>6</v>
      </c>
      <c r="H38">
        <f>H9</f>
        <v>15</v>
      </c>
      <c r="I38">
        <f>I9</f>
        <v>15</v>
      </c>
      <c r="J38">
        <f>J9</f>
        <v>15</v>
      </c>
    </row>
    <row r="39" spans="2:11" x14ac:dyDescent="0.25">
      <c r="C39" t="s">
        <v>122</v>
      </c>
      <c r="F39" t="s">
        <v>25</v>
      </c>
      <c r="G39" t="s">
        <v>6</v>
      </c>
      <c r="H39">
        <f>H38+2*$H$36</f>
        <v>17</v>
      </c>
      <c r="I39">
        <f>I38+2*$H$36</f>
        <v>17</v>
      </c>
      <c r="J39">
        <f>J38+2*$H$36</f>
        <v>17</v>
      </c>
    </row>
    <row r="40" spans="2:11" x14ac:dyDescent="0.25">
      <c r="C40" t="s">
        <v>26</v>
      </c>
      <c r="F40" t="s">
        <v>27</v>
      </c>
      <c r="G40" t="s">
        <v>6</v>
      </c>
      <c r="H40" s="2">
        <f>H38+$H$36</f>
        <v>16</v>
      </c>
      <c r="I40" s="2">
        <f>I38+$H$36</f>
        <v>16</v>
      </c>
      <c r="J40" s="2">
        <f>J38+$H$36</f>
        <v>16</v>
      </c>
    </row>
    <row r="43" spans="2:11" x14ac:dyDescent="0.25">
      <c r="B43" t="s">
        <v>28</v>
      </c>
    </row>
    <row r="44" spans="2:11" x14ac:dyDescent="0.25">
      <c r="C44" t="s">
        <v>29</v>
      </c>
    </row>
    <row r="45" spans="2:11" ht="18" x14ac:dyDescent="0.35">
      <c r="B45" t="s">
        <v>30</v>
      </c>
      <c r="C45" t="s">
        <v>31</v>
      </c>
      <c r="D45" t="s">
        <v>32</v>
      </c>
      <c r="F45" t="s">
        <v>33</v>
      </c>
      <c r="G45" t="s">
        <v>34</v>
      </c>
      <c r="H45">
        <v>73000</v>
      </c>
    </row>
    <row r="46" spans="2:11" ht="18" x14ac:dyDescent="0.35">
      <c r="D46" t="s">
        <v>35</v>
      </c>
      <c r="F46" t="s">
        <v>36</v>
      </c>
      <c r="G46" t="s">
        <v>34</v>
      </c>
      <c r="H46">
        <v>30000</v>
      </c>
    </row>
    <row r="47" spans="2:11" x14ac:dyDescent="0.25">
      <c r="D47" t="s">
        <v>129</v>
      </c>
      <c r="F47" s="4" t="s">
        <v>130</v>
      </c>
      <c r="G47" t="s">
        <v>62</v>
      </c>
      <c r="H47">
        <v>0.22</v>
      </c>
    </row>
    <row r="48" spans="2:11" ht="18" x14ac:dyDescent="0.35">
      <c r="B48" t="s">
        <v>37</v>
      </c>
      <c r="C48" t="s">
        <v>38</v>
      </c>
      <c r="D48" t="s">
        <v>32</v>
      </c>
      <c r="F48" t="s">
        <v>39</v>
      </c>
      <c r="G48" t="s">
        <v>34</v>
      </c>
      <c r="H48">
        <v>1940</v>
      </c>
    </row>
    <row r="49" spans="2:10" ht="18" x14ac:dyDescent="0.35">
      <c r="D49" t="s">
        <v>35</v>
      </c>
      <c r="F49" t="s">
        <v>40</v>
      </c>
      <c r="G49" t="s">
        <v>34</v>
      </c>
      <c r="H49">
        <v>719</v>
      </c>
    </row>
    <row r="50" spans="2:10" x14ac:dyDescent="0.25">
      <c r="F50" s="4" t="s">
        <v>130</v>
      </c>
      <c r="G50" t="s">
        <v>62</v>
      </c>
      <c r="H50">
        <v>0.35</v>
      </c>
    </row>
    <row r="51" spans="2:10" ht="18" x14ac:dyDescent="0.35">
      <c r="B51" t="s">
        <v>41</v>
      </c>
      <c r="C51" t="s">
        <v>42</v>
      </c>
      <c r="D51" t="s">
        <v>32</v>
      </c>
      <c r="F51" t="s">
        <v>39</v>
      </c>
      <c r="G51" t="s">
        <v>34</v>
      </c>
      <c r="H51">
        <v>210000</v>
      </c>
    </row>
    <row r="52" spans="2:10" ht="18" x14ac:dyDescent="0.35">
      <c r="D52" t="s">
        <v>35</v>
      </c>
      <c r="F52" t="s">
        <v>40</v>
      </c>
      <c r="G52" t="s">
        <v>34</v>
      </c>
      <c r="H52">
        <v>81000</v>
      </c>
    </row>
    <row r="53" spans="2:10" x14ac:dyDescent="0.25">
      <c r="F53" s="4" t="s">
        <v>130</v>
      </c>
      <c r="G53" t="s">
        <v>62</v>
      </c>
      <c r="H53" s="3">
        <v>0.3</v>
      </c>
    </row>
    <row r="56" spans="2:10" x14ac:dyDescent="0.25">
      <c r="B56" s="9" t="s">
        <v>43</v>
      </c>
      <c r="C56" s="9"/>
      <c r="D56" s="9"/>
      <c r="E56" s="9"/>
      <c r="F56" s="9"/>
    </row>
    <row r="57" spans="2:10" x14ac:dyDescent="0.25">
      <c r="H57" t="s">
        <v>2</v>
      </c>
      <c r="I57" t="s">
        <v>3</v>
      </c>
      <c r="J57" t="s">
        <v>147</v>
      </c>
    </row>
    <row r="58" spans="2:10" ht="18" x14ac:dyDescent="0.35">
      <c r="H58" s="10" t="s">
        <v>18</v>
      </c>
    </row>
    <row r="59" spans="2:10" ht="18" x14ac:dyDescent="0.35">
      <c r="B59" t="s">
        <v>37</v>
      </c>
      <c r="C59" t="s">
        <v>38</v>
      </c>
      <c r="D59" t="s">
        <v>32</v>
      </c>
      <c r="F59" t="s">
        <v>44</v>
      </c>
      <c r="G59" t="s">
        <v>34</v>
      </c>
      <c r="H59" s="11">
        <f>$H$48*PI()*SIN(H10)^3/2/COS(H10)^2*($H$32/H12)^2</f>
        <v>37.900697868268914</v>
      </c>
      <c r="I59" s="11">
        <f>$H$48*PI()*SIN(I10)^3/2/COS(I10)^2*($H$32/I12)^2</f>
        <v>11.729235888714605</v>
      </c>
      <c r="J59" s="11">
        <f>$H$48*PI()*SIN(J10)^3/2/COS(J10)^2*($H$32/J12)^2</f>
        <v>20.203053529765803</v>
      </c>
    </row>
    <row r="60" spans="2:10" ht="18" x14ac:dyDescent="0.35">
      <c r="D60" t="s">
        <v>35</v>
      </c>
      <c r="F60" t="s">
        <v>45</v>
      </c>
      <c r="G60" t="s">
        <v>34</v>
      </c>
      <c r="H60" s="11">
        <f>$H$48*PI()*SIN(H10)*($H$32/H12)^2</f>
        <v>81.528612303298502</v>
      </c>
      <c r="I60" s="11">
        <f>$H$48*PI()*SIN(I10)*($H$32/I12)^2</f>
        <v>46.91694355485842</v>
      </c>
      <c r="J60" s="11">
        <f>$H$48*PI()*SIN(J10)*($H$32/J12)^2</f>
        <v>61.166764866718964</v>
      </c>
    </row>
    <row r="61" spans="2:10" ht="18" x14ac:dyDescent="0.35">
      <c r="B61" t="s">
        <v>41</v>
      </c>
      <c r="C61" t="s">
        <v>42</v>
      </c>
      <c r="D61" t="s">
        <v>32</v>
      </c>
      <c r="F61" t="s">
        <v>44</v>
      </c>
      <c r="G61" t="s">
        <v>34</v>
      </c>
      <c r="H61" s="11">
        <f>$H$51*PI()*SIN(H10)^3/2/COS(H10)^2*($H$32/H12)^2</f>
        <v>4102.6528620291092</v>
      </c>
      <c r="I61" s="11">
        <f>$H$51*PI()*SIN(I10)^3/2/COS(I10)^2*($H$32/I12)^2</f>
        <v>1269.6595549639524</v>
      </c>
      <c r="J61" s="11">
        <f>$H$51*PI()*SIN(J10)^3/2/COS(J10)^2*($H$32/J12)^2</f>
        <v>2186.9284748715563</v>
      </c>
    </row>
    <row r="62" spans="2:10" ht="18" x14ac:dyDescent="0.35">
      <c r="D62" t="s">
        <v>35</v>
      </c>
      <c r="F62" t="s">
        <v>45</v>
      </c>
      <c r="G62" t="s">
        <v>34</v>
      </c>
      <c r="H62" s="11">
        <f>$H$51*PI()*SIN(H10)*($H$32/H12)^2</f>
        <v>8825.2621565426216</v>
      </c>
      <c r="I62" s="11">
        <f>$H$51*PI()*SIN(I10)*($H$32/I12)^2</f>
        <v>5078.6382198558094</v>
      </c>
      <c r="J62" s="11">
        <f>$H$51*PI()*SIN(J10)*($H$32/J12)^2</f>
        <v>6621.1446505211252</v>
      </c>
    </row>
    <row r="63" spans="2:10" ht="18" x14ac:dyDescent="0.35">
      <c r="F63" s="2"/>
      <c r="H63" s="10" t="s">
        <v>19</v>
      </c>
    </row>
    <row r="64" spans="2:10" ht="18" x14ac:dyDescent="0.35">
      <c r="C64" t="s">
        <v>38</v>
      </c>
      <c r="F64" t="s">
        <v>44</v>
      </c>
      <c r="G64" t="s">
        <v>34</v>
      </c>
      <c r="H64" s="11">
        <f>$H$48*PI()*SIN(H10)^3/2/COS(H10)^2*($H$33/H12)^2</f>
        <v>51.58706098736603</v>
      </c>
      <c r="I64" s="11">
        <f>$H$48*PI()*SIN(I10)^3/2/COS(I10)^2*($H$33/I12)^2</f>
        <v>15.964793292972656</v>
      </c>
      <c r="J64" s="11">
        <f>$H$48*PI()*SIN(J10)^3/2/COS(J10)^2*($H$33/J12)^2</f>
        <v>27.498600637736793</v>
      </c>
    </row>
    <row r="65" spans="2:10" ht="18" x14ac:dyDescent="0.35">
      <c r="F65" t="s">
        <v>45</v>
      </c>
      <c r="G65" t="s">
        <v>34</v>
      </c>
      <c r="H65" s="11">
        <f>$H$48*PI()*SIN(H10)*($H$33/H12)^2</f>
        <v>110.96950007948965</v>
      </c>
      <c r="I65" s="11">
        <f>$H$48*PI()*SIN(I10)*($H$33/I12)^2</f>
        <v>63.859173171890625</v>
      </c>
      <c r="J65" s="11">
        <f>$H$48*PI()*SIN(J10)*($H$33/J12)^2</f>
        <v>83.254763290811937</v>
      </c>
    </row>
    <row r="66" spans="2:10" ht="18" x14ac:dyDescent="0.35">
      <c r="C66" t="s">
        <v>42</v>
      </c>
      <c r="F66" t="s">
        <v>44</v>
      </c>
      <c r="G66" t="s">
        <v>34</v>
      </c>
      <c r="H66" s="11">
        <f>$H$51*PI()*SIN(H10)^3/2/COS(H10)^2*($H$33/H12)^2</f>
        <v>5584.1663955396216</v>
      </c>
      <c r="I66" s="11">
        <f>$H$51*PI()*SIN(I10)^3/2/COS(I10)^2*($H$33/I12)^2</f>
        <v>1728.1477275898239</v>
      </c>
      <c r="J66" s="11">
        <f>$H$51*PI()*SIN(J10)^3/2/COS(J10)^2*($H$33/J12)^2</f>
        <v>2976.6526463529522</v>
      </c>
    </row>
    <row r="67" spans="2:10" ht="18" x14ac:dyDescent="0.35">
      <c r="F67" t="s">
        <v>45</v>
      </c>
      <c r="G67" t="s">
        <v>34</v>
      </c>
      <c r="H67" s="11">
        <f>$H$51*PI()*SIN(H10)*($H$33/H12)^2</f>
        <v>12012.162379738571</v>
      </c>
      <c r="I67" s="11">
        <f>$H$51*PI()*SIN(I10)*($H$33/I12)^2</f>
        <v>6912.5909103592958</v>
      </c>
      <c r="J67" s="11">
        <f>$H$51*PI()*SIN(J10)*($H$33/J12)^2</f>
        <v>9012.1135520982007</v>
      </c>
    </row>
    <row r="68" spans="2:10" ht="18" x14ac:dyDescent="0.35">
      <c r="F68" s="2"/>
      <c r="H68" s="10" t="s">
        <v>20</v>
      </c>
    </row>
    <row r="69" spans="2:10" ht="18" x14ac:dyDescent="0.35">
      <c r="C69" t="s">
        <v>38</v>
      </c>
      <c r="F69" t="s">
        <v>44</v>
      </c>
      <c r="G69" t="s">
        <v>34</v>
      </c>
      <c r="H69" s="11">
        <f>$H$48*PI()*SIN(H10)^3/2/COS(H10)^2*($H$34/H12)^2</f>
        <v>67.379018432478091</v>
      </c>
      <c r="I69" s="11">
        <f>$H$48*PI()*SIN(I10)^3/2/COS(I10)^2*($H$34/I12)^2</f>
        <v>20.851974913270411</v>
      </c>
      <c r="J69" s="11">
        <f>$H$48*PI()*SIN(J10)^3/2/COS(J10)^2*($H$34/J12)^2</f>
        <v>35.916539608472533</v>
      </c>
    </row>
    <row r="70" spans="2:10" ht="18" x14ac:dyDescent="0.35">
      <c r="F70" t="s">
        <v>45</v>
      </c>
      <c r="G70" t="s">
        <v>34</v>
      </c>
      <c r="H70" s="11">
        <f>$H$48*PI()*SIN(H10)*($H$34/H12)^2</f>
        <v>144.93975520586403</v>
      </c>
      <c r="I70" s="11">
        <f>$H$48*PI()*SIN(I10)*($H$34/I12)^2</f>
        <v>83.407899653081643</v>
      </c>
      <c r="J70" s="11">
        <f>$H$48*PI()*SIN(J10)*($H$34/J12)^2</f>
        <v>108.74091531861147</v>
      </c>
    </row>
    <row r="71" spans="2:10" ht="18" x14ac:dyDescent="0.35">
      <c r="C71" t="s">
        <v>42</v>
      </c>
      <c r="F71" t="s">
        <v>44</v>
      </c>
      <c r="G71" t="s">
        <v>34</v>
      </c>
      <c r="H71" s="11">
        <f>$H$51*PI()*SIN(H10)^3/2/COS(H10)^2*($H$34/H12)^2</f>
        <v>7293.6050880517505</v>
      </c>
      <c r="I71" s="11">
        <f>$H$51*PI()*SIN(I10)^3/2/COS(I10)^2*($H$34/I12)^2</f>
        <v>2257.1725421581373</v>
      </c>
      <c r="J71" s="11">
        <f>$H$51*PI()*SIN(J10)^3/2/COS(J10)^2*($H$34/J12)^2</f>
        <v>3887.8728442160996</v>
      </c>
    </row>
    <row r="72" spans="2:10" ht="18" x14ac:dyDescent="0.35">
      <c r="F72" t="s">
        <v>45</v>
      </c>
      <c r="G72" t="s">
        <v>34</v>
      </c>
      <c r="H72" s="11">
        <f>$H$51*PI()*SIN(H10)*($H$34/H12)^2</f>
        <v>15689.354944964663</v>
      </c>
      <c r="I72" s="11">
        <f>$H$51*PI()*SIN(I10)*($H$34/I12)^2</f>
        <v>9028.6901686325491</v>
      </c>
      <c r="J72" s="11">
        <f>$H$51*PI()*SIN(J10)*($H$34/J12)^2</f>
        <v>11770.923823148667</v>
      </c>
    </row>
    <row r="73" spans="2:10" ht="18" x14ac:dyDescent="0.35">
      <c r="H73" s="10" t="s">
        <v>150</v>
      </c>
      <c r="I73" s="11"/>
      <c r="J73" s="11"/>
    </row>
    <row r="74" spans="2:10" ht="18" x14ac:dyDescent="0.35">
      <c r="C74" t="s">
        <v>38</v>
      </c>
      <c r="F74" t="s">
        <v>44</v>
      </c>
      <c r="G74" t="s">
        <v>34</v>
      </c>
      <c r="H74" s="11">
        <f>$H$48*PI()*SIN(H10)^3/2/COS(H10)^2*($H$35/H12)^2</f>
        <v>105.27971630074701</v>
      </c>
      <c r="I74" s="11">
        <f t="shared" ref="I74:J74" si="6">$H$48*PI()*SIN(I10)^3/2/COS(I10)^2*($H$35/I12)^2</f>
        <v>32.581210801985023</v>
      </c>
      <c r="J74" s="11">
        <f t="shared" si="6"/>
        <v>56.119593138238336</v>
      </c>
    </row>
    <row r="75" spans="2:10" ht="18" x14ac:dyDescent="0.35">
      <c r="F75" t="s">
        <v>45</v>
      </c>
      <c r="G75" t="s">
        <v>34</v>
      </c>
      <c r="H75" s="11">
        <f>$H$48*PI()*SIN(H10)*($H$35/H12)^2</f>
        <v>226.46836750916256</v>
      </c>
      <c r="I75" s="11">
        <f t="shared" ref="I75:J75" si="7">$H$48*PI()*SIN(I10)*($H$35/I12)^2</f>
        <v>130.32484320794009</v>
      </c>
      <c r="J75" s="11">
        <f t="shared" si="7"/>
        <v>169.90768018533043</v>
      </c>
    </row>
    <row r="76" spans="2:10" ht="18" x14ac:dyDescent="0.35">
      <c r="C76" t="s">
        <v>42</v>
      </c>
      <c r="F76" t="s">
        <v>44</v>
      </c>
      <c r="G76" t="s">
        <v>34</v>
      </c>
      <c r="H76" s="11">
        <f>$H$51*PI()*SIN(H10)^3/2/COS(H10)^2*($H$35/H12)^2</f>
        <v>11396.257950080861</v>
      </c>
      <c r="I76" s="11">
        <f t="shared" ref="I76:J76" si="8">$H$51*PI()*SIN(I10)^3/2/COS(I10)^2*($H$35/I12)^2</f>
        <v>3526.8320971220905</v>
      </c>
      <c r="J76" s="11">
        <f t="shared" si="8"/>
        <v>6074.8013190876563</v>
      </c>
    </row>
    <row r="77" spans="2:10" ht="18" x14ac:dyDescent="0.35">
      <c r="F77" t="s">
        <v>45</v>
      </c>
      <c r="G77" t="s">
        <v>34</v>
      </c>
      <c r="H77" s="11">
        <f>$H$51*PI()*SIN(H10)*($H$35/H12)^2</f>
        <v>24514.617101507287</v>
      </c>
      <c r="I77" s="11">
        <f t="shared" ref="I77:J77" si="9">$H$51*PI()*SIN(I10)*($H$35/I12)^2</f>
        <v>14107.328388488362</v>
      </c>
      <c r="J77" s="11">
        <f t="shared" si="9"/>
        <v>18392.068473669791</v>
      </c>
    </row>
    <row r="78" spans="2:10" x14ac:dyDescent="0.25">
      <c r="H78" s="11"/>
      <c r="I78" s="11"/>
      <c r="J78" s="11"/>
    </row>
    <row r="79" spans="2:10" x14ac:dyDescent="0.25">
      <c r="G79" s="2"/>
    </row>
    <row r="80" spans="2:10" x14ac:dyDescent="0.25">
      <c r="B80" s="9" t="s">
        <v>123</v>
      </c>
      <c r="C80" s="9"/>
      <c r="D80" s="9"/>
      <c r="G80" s="2"/>
    </row>
    <row r="81" spans="2:7" x14ac:dyDescent="0.25">
      <c r="C81" t="s">
        <v>125</v>
      </c>
      <c r="G81" s="2"/>
    </row>
    <row r="82" spans="2:7" x14ac:dyDescent="0.25">
      <c r="C82" t="s">
        <v>126</v>
      </c>
      <c r="G82" s="2"/>
    </row>
    <row r="83" spans="2:7" x14ac:dyDescent="0.25">
      <c r="C83" t="s">
        <v>46</v>
      </c>
      <c r="G83" s="2"/>
    </row>
    <row r="84" spans="2:7" x14ac:dyDescent="0.25">
      <c r="C84" t="s">
        <v>47</v>
      </c>
      <c r="G84" s="2"/>
    </row>
    <row r="85" spans="2:7" x14ac:dyDescent="0.25">
      <c r="C85" t="s">
        <v>124</v>
      </c>
      <c r="G85" s="2"/>
    </row>
    <row r="86" spans="2:7" x14ac:dyDescent="0.25">
      <c r="C86" t="s">
        <v>48</v>
      </c>
      <c r="G86" s="2"/>
    </row>
    <row r="87" spans="2:7" x14ac:dyDescent="0.25">
      <c r="G87" s="2"/>
    </row>
    <row r="88" spans="2:7" x14ac:dyDescent="0.25">
      <c r="B88" t="s">
        <v>49</v>
      </c>
      <c r="G88" s="2"/>
    </row>
    <row r="89" spans="2:7" x14ac:dyDescent="0.25">
      <c r="C89" t="s">
        <v>50</v>
      </c>
      <c r="F89" t="s">
        <v>51</v>
      </c>
      <c r="G89" s="2"/>
    </row>
    <row r="90" spans="2:7" x14ac:dyDescent="0.25">
      <c r="F90" t="s">
        <v>52</v>
      </c>
      <c r="G90" s="2"/>
    </row>
    <row r="91" spans="2:7" x14ac:dyDescent="0.25">
      <c r="C91" t="s">
        <v>53</v>
      </c>
      <c r="F91" t="s">
        <v>54</v>
      </c>
      <c r="G91" s="2"/>
    </row>
    <row r="92" spans="2:7" x14ac:dyDescent="0.25">
      <c r="F92" t="s">
        <v>55</v>
      </c>
      <c r="G92" s="2"/>
    </row>
    <row r="93" spans="2:7" x14ac:dyDescent="0.25">
      <c r="C93" t="s">
        <v>56</v>
      </c>
      <c r="F93" t="s">
        <v>57</v>
      </c>
      <c r="G93" s="2"/>
    </row>
    <row r="96" spans="2:7" x14ac:dyDescent="0.25">
      <c r="B96" s="42" t="s">
        <v>133</v>
      </c>
    </row>
    <row r="97" spans="2:11" x14ac:dyDescent="0.25">
      <c r="B97" t="s">
        <v>127</v>
      </c>
      <c r="H97" s="12"/>
    </row>
    <row r="98" spans="2:11" x14ac:dyDescent="0.25">
      <c r="B98" s="12" t="s">
        <v>58</v>
      </c>
    </row>
    <row r="99" spans="2:11" x14ac:dyDescent="0.25">
      <c r="C99" t="s">
        <v>59</v>
      </c>
    </row>
    <row r="100" spans="2:11" x14ac:dyDescent="0.25">
      <c r="C100" t="s">
        <v>60</v>
      </c>
    </row>
    <row r="101" spans="2:11" x14ac:dyDescent="0.25">
      <c r="F101" s="13"/>
      <c r="G101" s="1"/>
      <c r="H101" t="s">
        <v>2</v>
      </c>
      <c r="I101" t="s">
        <v>3</v>
      </c>
      <c r="J101" t="s">
        <v>147</v>
      </c>
    </row>
    <row r="102" spans="2:11" x14ac:dyDescent="0.25">
      <c r="F102" s="13" t="s">
        <v>61</v>
      </c>
      <c r="G102" t="s">
        <v>62</v>
      </c>
      <c r="H102" s="3">
        <f>H40/$H$36</f>
        <v>16</v>
      </c>
      <c r="I102" s="3">
        <f>I40/$H$36</f>
        <v>16</v>
      </c>
      <c r="J102" s="3">
        <f>J40/$H$36</f>
        <v>16</v>
      </c>
    </row>
    <row r="103" spans="2:11" x14ac:dyDescent="0.25">
      <c r="F103" s="13"/>
      <c r="H103" s="3"/>
      <c r="I103" s="3"/>
      <c r="J103" s="3"/>
      <c r="K103" s="3"/>
    </row>
    <row r="104" spans="2:11" x14ac:dyDescent="0.25">
      <c r="C104" t="s">
        <v>63</v>
      </c>
    </row>
    <row r="105" spans="2:11" x14ac:dyDescent="0.25">
      <c r="C105" s="14" t="s">
        <v>64</v>
      </c>
    </row>
    <row r="106" spans="2:11" x14ac:dyDescent="0.25">
      <c r="F106" s="13" t="s">
        <v>65</v>
      </c>
      <c r="H106" s="5" t="s">
        <v>2</v>
      </c>
      <c r="I106" s="5" t="s">
        <v>3</v>
      </c>
      <c r="J106" s="5" t="s">
        <v>147</v>
      </c>
    </row>
    <row r="107" spans="2:11" x14ac:dyDescent="0.25">
      <c r="F107" t="s">
        <v>66</v>
      </c>
      <c r="G107" t="s">
        <v>62</v>
      </c>
      <c r="H107" s="2">
        <f>$H$45*$H$36/$H$48/H38*(H40/H38)^2</f>
        <v>2.8542191676212294</v>
      </c>
      <c r="I107" s="2">
        <f>$H$45*$H$36/$H$48/I38*(I40/I38)^2</f>
        <v>2.8542191676212294</v>
      </c>
      <c r="J107" s="2">
        <f>$H$45*$H$36/$H$48/J38*(J40/J38)^2</f>
        <v>2.8542191676212294</v>
      </c>
    </row>
    <row r="108" spans="2:11" x14ac:dyDescent="0.25">
      <c r="F108" t="s">
        <v>67</v>
      </c>
      <c r="G108" t="s">
        <v>62</v>
      </c>
      <c r="H108" s="3">
        <f>$H$45*$H$36/$H$51/H38*(H40/H38)^2</f>
        <v>2.6367548500881834E-2</v>
      </c>
      <c r="I108" s="3">
        <f>$H$45*$H$36/$H$51/I38*(I40/I38)^2</f>
        <v>2.6367548500881834E-2</v>
      </c>
      <c r="J108" s="3">
        <f>$H$45*$H$36/$H$51/J38*(J40/J38)^2</f>
        <v>2.6367548500881834E-2</v>
      </c>
    </row>
    <row r="109" spans="2:11" ht="18" x14ac:dyDescent="0.35">
      <c r="H109" s="10" t="s">
        <v>18</v>
      </c>
      <c r="I109" s="2"/>
      <c r="J109" s="2"/>
    </row>
    <row r="110" spans="2:11" x14ac:dyDescent="0.25">
      <c r="F110" t="s">
        <v>68</v>
      </c>
      <c r="G110" t="s">
        <v>62</v>
      </c>
      <c r="H110" s="2">
        <f>$H$45*$H$36/H59/H38*(H40/H38)^2</f>
        <v>146.09718281258895</v>
      </c>
      <c r="I110" s="2">
        <f>$H$45*$H$36/I59/I38*(I40/I38)^2</f>
        <v>472.08405029289594</v>
      </c>
      <c r="J110" s="2">
        <f>$H$45*$H$36/J59/J38*(J40/J38)^2</f>
        <v>274.07664772194329</v>
      </c>
    </row>
    <row r="111" spans="2:11" x14ac:dyDescent="0.25">
      <c r="F111" t="s">
        <v>69</v>
      </c>
      <c r="G111" t="s">
        <v>62</v>
      </c>
      <c r="H111" s="2">
        <f>$H$45*$H$36/H61/H38*(H40/H38)^2</f>
        <v>1.3496596888401076</v>
      </c>
      <c r="I111" s="2">
        <f>$H$45*$H$36/I61/I38*(I40/I38)^2</f>
        <v>4.3611574169915137</v>
      </c>
      <c r="J111" s="2">
        <f>$H$45*$H$36/J61/J38*(J40/J38)^2</f>
        <v>2.5319461741931906</v>
      </c>
    </row>
    <row r="112" spans="2:11" ht="18" x14ac:dyDescent="0.35">
      <c r="H112" s="10" t="s">
        <v>19</v>
      </c>
      <c r="I112" s="2"/>
      <c r="J112" s="2"/>
    </row>
    <row r="113" spans="3:11" x14ac:dyDescent="0.25">
      <c r="F113" t="s">
        <v>68</v>
      </c>
      <c r="G113" t="s">
        <v>62</v>
      </c>
      <c r="H113" s="2">
        <f>$H$45*$H$36/H64/H38*(H40/H38)^2</f>
        <v>107.33670573986129</v>
      </c>
      <c r="I113" s="2">
        <f>$H$45*$H$36/I64/I38*(I40/I38)^2</f>
        <v>346.83726143967863</v>
      </c>
      <c r="J113" s="2">
        <f>$H$45*$H$36/J64/J38*(J40/J38)^2</f>
        <v>201.36243506101954</v>
      </c>
    </row>
    <row r="114" spans="3:11" x14ac:dyDescent="0.25">
      <c r="F114" t="s">
        <v>69</v>
      </c>
      <c r="G114" t="s">
        <v>62</v>
      </c>
      <c r="H114" s="2">
        <f>$H$45*$H$36/H66/H38*(H40/H38)^2</f>
        <v>0.9915867101682424</v>
      </c>
      <c r="I114" s="2">
        <f>$H$45*$H$36/I66/I38*(I40/I38)^2</f>
        <v>3.2041156532998878</v>
      </c>
      <c r="J114" s="2">
        <f>$H$45*$H$36/J66/J38*(J40/J38)^2</f>
        <v>1.8602053524684659</v>
      </c>
    </row>
    <row r="115" spans="3:11" ht="18" x14ac:dyDescent="0.35">
      <c r="H115" s="10" t="s">
        <v>20</v>
      </c>
      <c r="I115" s="2"/>
      <c r="J115" s="2"/>
    </row>
    <row r="116" spans="3:11" x14ac:dyDescent="0.25">
      <c r="F116" t="s">
        <v>68</v>
      </c>
      <c r="G116" t="s">
        <v>62</v>
      </c>
      <c r="H116" s="2">
        <f>$H$45*$H$36/H69/H38*(H40/H38)^2</f>
        <v>82.179665332081285</v>
      </c>
      <c r="I116" s="2">
        <f>$H$45*$H$36/I69/I38*(I40/I38)^2</f>
        <v>265.54727828975393</v>
      </c>
      <c r="J116" s="2">
        <f>$H$45*$H$36/J69/J38*(J40/J38)^2</f>
        <v>154.16811434359312</v>
      </c>
    </row>
    <row r="117" spans="3:11" x14ac:dyDescent="0.25">
      <c r="F117" t="s">
        <v>69</v>
      </c>
      <c r="G117" t="s">
        <v>62</v>
      </c>
      <c r="H117" s="2">
        <f>$H$45*$H$36/H71/H38*(H40/H38)^2</f>
        <v>0.7591835749725605</v>
      </c>
      <c r="I117" s="2">
        <f>$H$45*$H$36/I71/I38*(I40/I38)^2</f>
        <v>2.4531510470577262</v>
      </c>
      <c r="J117" s="2">
        <f>$H$45*$H$36/J71/J38*(J40/J38)^2</f>
        <v>1.4242197229836695</v>
      </c>
    </row>
    <row r="118" spans="3:11" ht="18" x14ac:dyDescent="0.35">
      <c r="H118" s="10" t="s">
        <v>150</v>
      </c>
      <c r="I118" s="2"/>
      <c r="J118" s="2"/>
    </row>
    <row r="119" spans="3:11" x14ac:dyDescent="0.25">
      <c r="F119" t="s">
        <v>68</v>
      </c>
      <c r="G119" t="s">
        <v>62</v>
      </c>
      <c r="H119" s="2">
        <f>$H$45*$H$36/H74/H38*(H40/H38)^2</f>
        <v>52.594985812532016</v>
      </c>
      <c r="I119" s="2">
        <f t="shared" ref="I119:J119" si="10">$H$45*$H$36/I74/I38*(I40/I38)^2</f>
        <v>169.95025810544246</v>
      </c>
      <c r="J119" s="2">
        <f t="shared" si="10"/>
        <v>98.667593179899598</v>
      </c>
    </row>
    <row r="120" spans="3:11" x14ac:dyDescent="0.25">
      <c r="F120" t="s">
        <v>69</v>
      </c>
      <c r="G120" t="s">
        <v>62</v>
      </c>
      <c r="H120" s="2">
        <f>$H$45*$H$36/H76/H38*(H40/H38)^2</f>
        <v>0.48587748798243879</v>
      </c>
      <c r="I120" s="2">
        <f t="shared" ref="I120:J120" si="11">$H$45*$H$36/I76/I38*(I40/I38)^2</f>
        <v>1.5700166701169447</v>
      </c>
      <c r="J120" s="2">
        <f t="shared" si="11"/>
        <v>0.91150062270954857</v>
      </c>
    </row>
    <row r="121" spans="3:11" x14ac:dyDescent="0.25">
      <c r="H121" s="2"/>
      <c r="I121" s="2"/>
      <c r="J121" s="2"/>
      <c r="K121" s="2"/>
    </row>
    <row r="122" spans="3:11" x14ac:dyDescent="0.25">
      <c r="C122" t="s">
        <v>70</v>
      </c>
    </row>
    <row r="123" spans="3:11" x14ac:dyDescent="0.25">
      <c r="F123" s="13" t="s">
        <v>65</v>
      </c>
      <c r="H123" s="5" t="s">
        <v>2</v>
      </c>
      <c r="I123" s="5" t="s">
        <v>3</v>
      </c>
      <c r="J123" s="5" t="s">
        <v>147</v>
      </c>
    </row>
    <row r="124" spans="3:11" x14ac:dyDescent="0.25">
      <c r="F124" t="s">
        <v>66</v>
      </c>
      <c r="G124" t="s">
        <v>62</v>
      </c>
      <c r="H124" s="2">
        <f>$H$45*$H$36*H40/$H$48/H38^2</f>
        <v>2.6758304696449029</v>
      </c>
      <c r="I124" s="2">
        <f>$H$45*$H$36*I40/$H$48/I38^2</f>
        <v>2.6758304696449029</v>
      </c>
      <c r="J124" s="2">
        <f>$H$45*$H$36*J40/$H$48/J38^2</f>
        <v>2.6758304696449029</v>
      </c>
    </row>
    <row r="125" spans="3:11" x14ac:dyDescent="0.25">
      <c r="F125" t="s">
        <v>67</v>
      </c>
      <c r="G125" t="s">
        <v>62</v>
      </c>
      <c r="H125" s="3">
        <f>$H$45*$H$36*H40/$H$51/H38^2</f>
        <v>2.4719576719576718E-2</v>
      </c>
      <c r="I125" s="3">
        <f>$H$45*$H$36*I40/$H$51/I38^2</f>
        <v>2.4719576719576718E-2</v>
      </c>
      <c r="J125" s="3">
        <f>$H$45*$H$36*J40/$H$51/J38^2</f>
        <v>2.4719576719576718E-2</v>
      </c>
    </row>
    <row r="126" spans="3:11" ht="18" x14ac:dyDescent="0.35">
      <c r="H126" s="10" t="s">
        <v>18</v>
      </c>
      <c r="I126" s="2"/>
      <c r="J126" s="2"/>
    </row>
    <row r="127" spans="3:11" x14ac:dyDescent="0.25">
      <c r="F127" t="s">
        <v>68</v>
      </c>
      <c r="G127" t="s">
        <v>62</v>
      </c>
      <c r="H127" s="2">
        <f>$H$45*$H$36*H40/H59/H38^2</f>
        <v>136.96610888680217</v>
      </c>
      <c r="I127" s="2">
        <f>$H$45*$H$36*I40/I59/I38^2</f>
        <v>442.57879714958989</v>
      </c>
      <c r="J127" s="2">
        <f>$H$45*$H$36*J40/J59/J38^2</f>
        <v>256.94685723932184</v>
      </c>
    </row>
    <row r="128" spans="3:11" x14ac:dyDescent="0.25">
      <c r="F128" t="s">
        <v>69</v>
      </c>
      <c r="G128" t="s">
        <v>62</v>
      </c>
      <c r="H128" s="2">
        <f>$H$45*$H$36*H40/H61/H38^2</f>
        <v>1.265305958287601</v>
      </c>
      <c r="I128" s="2">
        <f>$H$45*$H$36*I40/I61/I38^2</f>
        <v>4.0885850784295439</v>
      </c>
      <c r="J128" s="2">
        <f>$H$45*$H$36*J40/J61/J38^2</f>
        <v>2.3736995383061159</v>
      </c>
    </row>
    <row r="129" spans="2:11" ht="18" x14ac:dyDescent="0.35">
      <c r="H129" s="10" t="s">
        <v>19</v>
      </c>
      <c r="I129" s="2"/>
      <c r="J129" s="2"/>
    </row>
    <row r="130" spans="2:11" x14ac:dyDescent="0.25">
      <c r="F130" t="s">
        <v>68</v>
      </c>
      <c r="G130" t="s">
        <v>62</v>
      </c>
      <c r="H130" s="2">
        <f>$H$45*$H$36*H40/H64/H38^2</f>
        <v>100.62816163111995</v>
      </c>
      <c r="I130" s="2">
        <f>$H$45*$H$36*I40/I64/I38^2</f>
        <v>325.15993259969872</v>
      </c>
      <c r="J130" s="2">
        <f>$H$45*$H$36*J40/J64/J38^2</f>
        <v>188.7772828697058</v>
      </c>
    </row>
    <row r="131" spans="2:11" x14ac:dyDescent="0.25">
      <c r="F131" t="s">
        <v>69</v>
      </c>
      <c r="G131" t="s">
        <v>62</v>
      </c>
      <c r="H131" s="2">
        <f>$H$45*$H$36*H40/H66/H38^2</f>
        <v>0.92961254078272726</v>
      </c>
      <c r="I131" s="2">
        <f>$H$45*$H$36*I40/I66/I38^2</f>
        <v>3.0038584249686449</v>
      </c>
      <c r="J131" s="2">
        <f>$H$45*$H$36*J40/J66/J38^2</f>
        <v>1.7439425179391868</v>
      </c>
    </row>
    <row r="132" spans="2:11" ht="18" x14ac:dyDescent="0.35">
      <c r="H132" s="10" t="s">
        <v>20</v>
      </c>
      <c r="I132" s="2"/>
      <c r="J132" s="2"/>
    </row>
    <row r="133" spans="2:11" x14ac:dyDescent="0.25">
      <c r="F133" t="s">
        <v>68</v>
      </c>
      <c r="G133" t="s">
        <v>62</v>
      </c>
      <c r="H133" s="2">
        <f>$H$45*$H$36*H40/H69/H38^2</f>
        <v>77.043436248826197</v>
      </c>
      <c r="I133" s="2">
        <f>$H$45*$H$36*I40/I69/I38^2</f>
        <v>248.9505733966443</v>
      </c>
      <c r="J133" s="2">
        <f>$H$45*$H$36*J40/J69/J38^2</f>
        <v>144.53260719711858</v>
      </c>
    </row>
    <row r="134" spans="2:11" x14ac:dyDescent="0.25">
      <c r="F134" t="s">
        <v>69</v>
      </c>
      <c r="G134" t="s">
        <v>62</v>
      </c>
      <c r="H134" s="2">
        <f>$H$45*$H$36*H40/H71/H38^2</f>
        <v>0.71173460153677548</v>
      </c>
      <c r="I134" s="2">
        <f>$H$45*$H$36*I40/I71/I38^2</f>
        <v>2.2998291066166185</v>
      </c>
      <c r="J134" s="2">
        <f>$H$45*$H$36*J40/J71/J38^2</f>
        <v>1.3352059902971902</v>
      </c>
    </row>
    <row r="135" spans="2:11" ht="18" x14ac:dyDescent="0.35">
      <c r="H135" s="10" t="s">
        <v>150</v>
      </c>
      <c r="I135" s="2"/>
      <c r="J135" s="2"/>
    </row>
    <row r="136" spans="2:11" x14ac:dyDescent="0.25">
      <c r="F136" t="s">
        <v>68</v>
      </c>
      <c r="G136" t="s">
        <v>62</v>
      </c>
      <c r="H136" s="2">
        <f>$H$45*$H$36*H40/H74/H38^2</f>
        <v>49.307799199248763</v>
      </c>
      <c r="I136" s="2">
        <f t="shared" ref="I136:J136" si="12">$H$45*$H$36*I40/I74/I38^2</f>
        <v>159.32836697385233</v>
      </c>
      <c r="J136" s="2">
        <f t="shared" si="12"/>
        <v>92.500868606155876</v>
      </c>
    </row>
    <row r="137" spans="2:11" x14ac:dyDescent="0.25">
      <c r="F137" t="s">
        <v>69</v>
      </c>
      <c r="G137" t="s">
        <v>62</v>
      </c>
      <c r="H137" s="2">
        <f>$H$45*$H$36*H40/H76/H38^2</f>
        <v>0.45551014498353631</v>
      </c>
      <c r="I137" s="2">
        <f t="shared" ref="I137:J137" si="13">$H$45*$H$36*I40/I76/I38^2</f>
        <v>1.4718906282346356</v>
      </c>
      <c r="J137" s="2">
        <f t="shared" si="13"/>
        <v>0.8545318337902017</v>
      </c>
    </row>
    <row r="138" spans="2:11" x14ac:dyDescent="0.25">
      <c r="H138" s="2"/>
      <c r="I138" s="2"/>
      <c r="J138" s="2"/>
      <c r="K138" s="2"/>
    </row>
    <row r="139" spans="2:11" x14ac:dyDescent="0.25">
      <c r="C139" t="s">
        <v>71</v>
      </c>
    </row>
    <row r="140" spans="2:11" x14ac:dyDescent="0.25">
      <c r="H140" s="5" t="s">
        <v>2</v>
      </c>
      <c r="I140" s="5" t="s">
        <v>3</v>
      </c>
      <c r="J140" s="5" t="s">
        <v>147</v>
      </c>
    </row>
    <row r="141" spans="2:11" x14ac:dyDescent="0.25">
      <c r="F141" s="15" t="s">
        <v>61</v>
      </c>
      <c r="G141" t="s">
        <v>62</v>
      </c>
      <c r="H141" s="3">
        <f>H40/$H$36</f>
        <v>16</v>
      </c>
      <c r="I141" s="3">
        <f>I40/$H$36</f>
        <v>16</v>
      </c>
      <c r="J141" s="3">
        <f>J40/$H$36</f>
        <v>16</v>
      </c>
    </row>
    <row r="142" spans="2:11" x14ac:dyDescent="0.25">
      <c r="B142" s="42" t="s">
        <v>133</v>
      </c>
      <c r="D142" s="15"/>
      <c r="E142" s="3"/>
    </row>
    <row r="143" spans="2:11" x14ac:dyDescent="0.25">
      <c r="D143" s="15"/>
      <c r="E143" s="3"/>
    </row>
    <row r="145" spans="2:18" x14ac:dyDescent="0.25">
      <c r="B145" s="9" t="s">
        <v>128</v>
      </c>
      <c r="C145" s="9"/>
      <c r="D145" s="9"/>
      <c r="E145" s="9"/>
      <c r="F145" s="9"/>
    </row>
    <row r="147" spans="2:18" x14ac:dyDescent="0.25">
      <c r="B147" s="9" t="s">
        <v>72</v>
      </c>
      <c r="C147" s="9"/>
      <c r="D147" s="9"/>
    </row>
    <row r="150" spans="2:18" x14ac:dyDescent="0.25">
      <c r="H150" s="5" t="s">
        <v>2</v>
      </c>
      <c r="I150" s="5" t="s">
        <v>3</v>
      </c>
      <c r="J150" s="5" t="s">
        <v>147</v>
      </c>
    </row>
    <row r="151" spans="2:18" x14ac:dyDescent="0.25">
      <c r="B151" s="43" t="s">
        <v>131</v>
      </c>
      <c r="F151" s="16" t="s">
        <v>73</v>
      </c>
      <c r="G151" s="5" t="s">
        <v>145</v>
      </c>
      <c r="H151" s="11">
        <f>$H$45*$H$36^3/6/(1-$H$47^2)</f>
        <v>12785.484096959506</v>
      </c>
      <c r="I151" s="11">
        <f>$H$45*$H$36^3/6/(1-$H$47^2)</f>
        <v>12785.484096959506</v>
      </c>
      <c r="J151" s="11">
        <f>$H$45*$H$36^3/6/(1-$H$47^2)</f>
        <v>12785.484096959506</v>
      </c>
      <c r="L151" s="11"/>
    </row>
    <row r="152" spans="2:18" x14ac:dyDescent="0.25">
      <c r="B152" s="43" t="s">
        <v>132</v>
      </c>
      <c r="G152" s="5"/>
      <c r="H152" s="17" t="str">
        <f>IF(H102&gt;5.7,"Trascurabile","Non trascurabile")</f>
        <v>Trascurabile</v>
      </c>
      <c r="I152" s="17" t="str">
        <f>IF(I102&gt;5.7,"Trascurabile","Non trascurabile")</f>
        <v>Trascurabile</v>
      </c>
      <c r="J152" s="17" t="str">
        <f>IF(J102&gt;5.7,"Trascurabile","Non trascurabile")</f>
        <v>Trascurabile</v>
      </c>
      <c r="L152" s="11"/>
    </row>
    <row r="153" spans="2:18" x14ac:dyDescent="0.25">
      <c r="F153" s="16" t="s">
        <v>74</v>
      </c>
      <c r="G153" s="5" t="s">
        <v>145</v>
      </c>
      <c r="H153" s="11">
        <f>$H$45*$H$36*H40^2/2/(1-$H$47^2)</f>
        <v>9819251.7864649016</v>
      </c>
      <c r="I153" s="11">
        <f>$H$45*$H$36*I40^2/2/(1-$H$47^2)</f>
        <v>9819251.7864649016</v>
      </c>
      <c r="J153" s="11">
        <f>$H$45*$H$36*J40^2/2/(1-$H$47^2)</f>
        <v>9819251.7864649016</v>
      </c>
    </row>
    <row r="154" spans="2:18" x14ac:dyDescent="0.25">
      <c r="G154" s="5"/>
      <c r="H154" s="18" t="s">
        <v>75</v>
      </c>
      <c r="I154" s="18" t="s">
        <v>75</v>
      </c>
      <c r="J154" s="18" t="s">
        <v>75</v>
      </c>
    </row>
    <row r="155" spans="2:18" x14ac:dyDescent="0.25">
      <c r="G155" s="5"/>
    </row>
    <row r="156" spans="2:18" x14ac:dyDescent="0.25">
      <c r="C156" s="19" t="s">
        <v>76</v>
      </c>
      <c r="F156" s="20" t="s">
        <v>77</v>
      </c>
      <c r="G156" s="5"/>
      <c r="H156" s="5" t="s">
        <v>2</v>
      </c>
      <c r="I156" s="5" t="s">
        <v>3</v>
      </c>
      <c r="J156" s="5" t="s">
        <v>147</v>
      </c>
    </row>
    <row r="157" spans="2:18" x14ac:dyDescent="0.25">
      <c r="E157" s="1"/>
      <c r="F157" t="s">
        <v>66</v>
      </c>
      <c r="G157" s="5" t="s">
        <v>145</v>
      </c>
      <c r="H157" s="11">
        <f>$H$48*H38^3/12/(1-$H$50^2)</f>
        <v>621794.87179487175</v>
      </c>
      <c r="I157" s="11">
        <f>$H$48*I38^3/12/(1-$H$50^2)</f>
        <v>621794.87179487175</v>
      </c>
      <c r="J157" s="11">
        <f>$H$48*J38^3/12/(1-$H$50^2)</f>
        <v>621794.87179487175</v>
      </c>
      <c r="L157" s="28" t="s">
        <v>141</v>
      </c>
    </row>
    <row r="158" spans="2:18" x14ac:dyDescent="0.25">
      <c r="E158" s="1"/>
      <c r="G158" s="5"/>
      <c r="H158" s="21" t="str">
        <f>IF(H107&gt;16.7,"Trascurabile","Non trascurabile")</f>
        <v>Non trascurabile</v>
      </c>
      <c r="I158" s="21" t="str">
        <f>IF(I107&gt;16.7,"Trascurabile","Non trascurabile")</f>
        <v>Non trascurabile</v>
      </c>
      <c r="J158" s="21" t="str">
        <f>IF(J107&gt;16.7,"Trascurabile","Non trascurabile")</f>
        <v>Non trascurabile</v>
      </c>
      <c r="L158" t="s">
        <v>142</v>
      </c>
      <c r="O158" s="1"/>
      <c r="P158" s="1"/>
      <c r="Q158" s="1"/>
      <c r="R158" s="1"/>
    </row>
    <row r="159" spans="2:18" x14ac:dyDescent="0.25">
      <c r="F159" t="s">
        <v>67</v>
      </c>
      <c r="G159" s="5" t="s">
        <v>145</v>
      </c>
      <c r="H159" s="11">
        <f>$H$51*H38^3/12/(1-$H$53^2)</f>
        <v>64903846.153846152</v>
      </c>
      <c r="I159" s="11">
        <f>$H$51*I38^3/12/(1-$H$53^2)</f>
        <v>64903846.153846152</v>
      </c>
      <c r="J159" s="11">
        <f>$H$51*J38^3/12/(1-$H$53^2)</f>
        <v>64903846.153846152</v>
      </c>
      <c r="L159" t="s">
        <v>143</v>
      </c>
      <c r="P159" s="21"/>
      <c r="Q159" s="21"/>
      <c r="R159" s="21"/>
    </row>
    <row r="160" spans="2:18" x14ac:dyDescent="0.25">
      <c r="G160" s="5"/>
      <c r="H160" s="21" t="str">
        <f>IF(H108&gt;16.7,"Trascurabile","Non trascurabile")</f>
        <v>Non trascurabile</v>
      </c>
      <c r="I160" s="21" t="str">
        <f>IF(I108&gt;16.7,"Trascurabile","Non trascurabile")</f>
        <v>Non trascurabile</v>
      </c>
      <c r="J160" s="21" t="str">
        <f>IF(J108&gt;16.7,"Trascurabile","Non trascurabile")</f>
        <v>Non trascurabile</v>
      </c>
      <c r="L160" t="s">
        <v>144</v>
      </c>
      <c r="O160" s="21"/>
      <c r="P160" s="21"/>
      <c r="Q160" s="21"/>
      <c r="R160" s="21"/>
    </row>
    <row r="161" spans="6:18" ht="18" customHeight="1" x14ac:dyDescent="0.35">
      <c r="G161" s="5"/>
      <c r="H161" s="10" t="s">
        <v>18</v>
      </c>
      <c r="P161" s="21"/>
      <c r="Q161" s="21"/>
      <c r="R161" s="21"/>
    </row>
    <row r="162" spans="6:18" x14ac:dyDescent="0.25">
      <c r="F162" t="s">
        <v>68</v>
      </c>
      <c r="G162" s="5" t="s">
        <v>145</v>
      </c>
      <c r="H162" s="11">
        <f>H59*H$38^3/12/(1-$H$47^2)</f>
        <v>11201.735262138118</v>
      </c>
      <c r="I162" s="11">
        <f>I59*I$38^3/12/(1-$H$47^2)</f>
        <v>3466.6326121279767</v>
      </c>
      <c r="J162" s="11">
        <f>J59*J$38^3/12/(1-$H$47^2)</f>
        <v>5971.1105561650193</v>
      </c>
      <c r="P162" s="21"/>
      <c r="Q162" s="21"/>
      <c r="R162" s="21"/>
    </row>
    <row r="163" spans="6:18" x14ac:dyDescent="0.25">
      <c r="G163" s="5"/>
      <c r="H163" s="21" t="str">
        <f>IF(H110&gt;16.7,"Trascurabile","Non trascurabile")</f>
        <v>Trascurabile</v>
      </c>
      <c r="I163" s="21" t="str">
        <f>IF(I110&gt;16.7,"Trascurabile","Non trascurabile")</f>
        <v>Trascurabile</v>
      </c>
      <c r="J163" s="21" t="str">
        <f>IF(J110&gt;16.7,"Trascurabile","Non trascurabile")</f>
        <v>Trascurabile</v>
      </c>
      <c r="O163" s="21"/>
      <c r="P163" s="21"/>
      <c r="Q163" s="21"/>
      <c r="R163" s="21"/>
    </row>
    <row r="164" spans="6:18" x14ac:dyDescent="0.25">
      <c r="F164" t="s">
        <v>69</v>
      </c>
      <c r="G164" s="5" t="s">
        <v>145</v>
      </c>
      <c r="H164" s="11">
        <f>H61*H$38^3/12/(1-$H$47^2)</f>
        <v>1212558.9716747447</v>
      </c>
      <c r="I164" s="11">
        <f>I61*I$38^3/12/(1-$H$47^2)</f>
        <v>375254.0456427192</v>
      </c>
      <c r="J164" s="11">
        <f>J61*J$38^3/12/(1-$H$47^2)</f>
        <v>646357.32824466715</v>
      </c>
      <c r="P164" s="21"/>
      <c r="Q164" s="21"/>
      <c r="R164" s="21"/>
    </row>
    <row r="165" spans="6:18" x14ac:dyDescent="0.25">
      <c r="G165" s="5"/>
      <c r="H165" s="21" t="str">
        <f>IF(H111&gt;16.7,"Trascurabile","Non trascurabile")</f>
        <v>Non trascurabile</v>
      </c>
      <c r="I165" s="21" t="str">
        <f>IF(I111&gt;16.7,"Trascurabile","Non trascurabile")</f>
        <v>Non trascurabile</v>
      </c>
      <c r="J165" s="21" t="str">
        <f>IF(J111&gt;16.7,"Trascurabile","Non trascurabile")</f>
        <v>Non trascurabile</v>
      </c>
      <c r="O165" s="21"/>
      <c r="P165" s="21"/>
      <c r="Q165" s="21"/>
      <c r="R165" s="21"/>
    </row>
    <row r="166" spans="6:18" ht="18" x14ac:dyDescent="0.35">
      <c r="G166" s="5"/>
      <c r="H166" s="10" t="s">
        <v>19</v>
      </c>
      <c r="I166" s="11"/>
      <c r="J166" s="11"/>
      <c r="K166" s="11"/>
      <c r="O166" s="21"/>
      <c r="P166" s="21"/>
      <c r="Q166" s="21"/>
      <c r="R166" s="21"/>
    </row>
    <row r="167" spans="6:18" x14ac:dyDescent="0.25">
      <c r="F167" t="s">
        <v>68</v>
      </c>
      <c r="G167" s="5" t="s">
        <v>145</v>
      </c>
      <c r="H167" s="11">
        <f>H64*H$38^3/12/(1-$H$47^2)</f>
        <v>15246.806329021327</v>
      </c>
      <c r="I167" s="11">
        <f>I64*I$38^3/12/(1-$H$47^2)</f>
        <v>4718.472166507524</v>
      </c>
      <c r="J167" s="11">
        <f>J64*J$38^3/12/(1-$H$47^2)</f>
        <v>8127.3449236690558</v>
      </c>
      <c r="O167" s="21"/>
      <c r="P167" s="21"/>
      <c r="Q167" s="21"/>
      <c r="R167" s="21"/>
    </row>
    <row r="168" spans="6:18" x14ac:dyDescent="0.25">
      <c r="G168" s="5"/>
      <c r="H168" s="21" t="str">
        <f>IF(H113&gt;16.7,"Trascurabile","Non trascurabile")</f>
        <v>Trascurabile</v>
      </c>
      <c r="I168" s="21" t="str">
        <f>IF(I113&gt;16.7,"Trascurabile","Non trascurabile")</f>
        <v>Trascurabile</v>
      </c>
      <c r="J168" s="21" t="str">
        <f>IF(J113&gt;16.7,"Trascurabile","Non trascurabile")</f>
        <v>Trascurabile</v>
      </c>
      <c r="O168" s="21"/>
      <c r="P168" s="21"/>
      <c r="Q168" s="21"/>
      <c r="R168" s="21"/>
    </row>
    <row r="169" spans="6:18" x14ac:dyDescent="0.25">
      <c r="F169" t="s">
        <v>69</v>
      </c>
      <c r="G169" s="5" t="s">
        <v>145</v>
      </c>
      <c r="H169" s="11">
        <f>H66*H$38^3/12/(1-$H$47^2)</f>
        <v>1650427.4892239582</v>
      </c>
      <c r="I169" s="11">
        <f>I66*I$38^3/12/(1-$H$47^2)</f>
        <v>510762.45101370109</v>
      </c>
      <c r="J169" s="11">
        <f>J66*J$38^3/12/(1-$H$47^2)</f>
        <v>879764.14122190815</v>
      </c>
      <c r="O169" s="21"/>
      <c r="P169" s="21"/>
      <c r="Q169" s="21"/>
      <c r="R169" s="21"/>
    </row>
    <row r="170" spans="6:18" x14ac:dyDescent="0.25">
      <c r="G170" s="5"/>
      <c r="H170" s="21" t="str">
        <f>IF(H114&gt;16.7,"Trascurabile","Non trascurabile")</f>
        <v>Non trascurabile</v>
      </c>
      <c r="I170" s="21" t="str">
        <f>IF(I114&gt;16.7,"Trascurabile","Non trascurabile")</f>
        <v>Non trascurabile</v>
      </c>
      <c r="J170" s="21" t="str">
        <f>IF(J114&gt;16.7,"Trascurabile","Non trascurabile")</f>
        <v>Non trascurabile</v>
      </c>
      <c r="O170" s="21"/>
      <c r="P170" s="21"/>
      <c r="Q170" s="21"/>
      <c r="R170" s="21"/>
    </row>
    <row r="171" spans="6:18" ht="18" x14ac:dyDescent="0.35">
      <c r="G171" s="5"/>
      <c r="H171" s="10" t="s">
        <v>20</v>
      </c>
      <c r="I171" s="11"/>
      <c r="J171" s="11"/>
      <c r="K171" s="11"/>
      <c r="O171" s="21"/>
      <c r="P171" s="21"/>
      <c r="Q171" s="21"/>
      <c r="R171" s="21"/>
    </row>
    <row r="172" spans="6:18" x14ac:dyDescent="0.25">
      <c r="F172" t="s">
        <v>68</v>
      </c>
      <c r="G172" s="5" t="s">
        <v>145</v>
      </c>
      <c r="H172" s="11">
        <f>H69*H$38^3/12/(1-$H$47^2)</f>
        <v>19914.196021578882</v>
      </c>
      <c r="I172" s="11">
        <f>I69*I$38^3/12/(1-$H$47^2)</f>
        <v>6162.9024215608479</v>
      </c>
      <c r="J172" s="11">
        <f>J69*J$38^3/12/(1-$H$47^2)</f>
        <v>10615.307655404476</v>
      </c>
      <c r="O172" s="21"/>
      <c r="P172" s="21"/>
      <c r="Q172" s="21"/>
      <c r="R172" s="21"/>
    </row>
    <row r="173" spans="6:18" x14ac:dyDescent="0.25">
      <c r="G173" s="5"/>
      <c r="H173" s="21" t="str">
        <f>IF(H116&gt;16.7,"Trascurabile","Non trascurabile")</f>
        <v>Trascurabile</v>
      </c>
      <c r="I173" s="21" t="str">
        <f>IF(I116&gt;16.7,"Trascurabile","Non trascurabile")</f>
        <v>Trascurabile</v>
      </c>
      <c r="J173" s="21" t="str">
        <f>IF(J116&gt;16.7,"Trascurabile","Non trascurabile")</f>
        <v>Trascurabile</v>
      </c>
      <c r="O173" s="21"/>
      <c r="P173" s="21"/>
      <c r="Q173" s="21"/>
      <c r="R173" s="21"/>
    </row>
    <row r="174" spans="6:18" x14ac:dyDescent="0.25">
      <c r="F174" t="s">
        <v>69</v>
      </c>
      <c r="G174" s="5" t="s">
        <v>145</v>
      </c>
      <c r="H174" s="11">
        <f>H71*H$38^3/12/(1-$H$47^2)</f>
        <v>2155660.394088435</v>
      </c>
      <c r="I174" s="11">
        <f>I71*I$38^3/12/(1-$H$47^2)</f>
        <v>667118.30336483405</v>
      </c>
      <c r="J174" s="11">
        <f>J71*J$38^3/12/(1-$H$47^2)</f>
        <v>1149079.6946571856</v>
      </c>
      <c r="O174" s="21"/>
      <c r="P174" s="21"/>
      <c r="Q174" s="21"/>
      <c r="R174" s="21"/>
    </row>
    <row r="175" spans="6:18" x14ac:dyDescent="0.25">
      <c r="H175" s="21" t="str">
        <f>IF(H117&gt;16.7,"Trascurabile","Non trascurabile")</f>
        <v>Non trascurabile</v>
      </c>
      <c r="I175" s="21" t="str">
        <f>IF(I117&gt;16.7,"Trascurabile","Non trascurabile")</f>
        <v>Non trascurabile</v>
      </c>
      <c r="J175" s="21" t="str">
        <f>IF(J117&gt;16.7,"Trascurabile","Non trascurabile")</f>
        <v>Non trascurabile</v>
      </c>
      <c r="L175" s="11"/>
    </row>
    <row r="176" spans="6:18" ht="18" x14ac:dyDescent="0.35">
      <c r="H176" s="10" t="s">
        <v>150</v>
      </c>
      <c r="I176" s="21"/>
      <c r="J176" s="21"/>
      <c r="L176" s="11"/>
    </row>
    <row r="177" spans="3:12" x14ac:dyDescent="0.25">
      <c r="F177" t="s">
        <v>68</v>
      </c>
      <c r="G177" s="5" t="s">
        <v>145</v>
      </c>
      <c r="H177" s="11">
        <f>H74*H$38^3/12/(1-$H$47^2)</f>
        <v>31115.931283717</v>
      </c>
      <c r="I177" s="11">
        <f t="shared" ref="I177:J177" si="14">I74*I$38^3/12/(1-$H$47^2)</f>
        <v>9629.5350336888278</v>
      </c>
      <c r="J177" s="11">
        <f t="shared" si="14"/>
        <v>16586.418211569497</v>
      </c>
      <c r="L177" s="11"/>
    </row>
    <row r="178" spans="3:12" x14ac:dyDescent="0.25">
      <c r="G178" s="5"/>
      <c r="H178" s="21" t="str">
        <f>IF(H119&gt;16.7,"Trascurabile","Non trascurabile")</f>
        <v>Trascurabile</v>
      </c>
      <c r="I178" s="21" t="str">
        <f t="shared" ref="I178:J178" si="15">IF(I119&gt;16.7,"Trascurabile","Non trascurabile")</f>
        <v>Trascurabile</v>
      </c>
      <c r="J178" s="21" t="str">
        <f t="shared" si="15"/>
        <v>Trascurabile</v>
      </c>
      <c r="L178" s="11"/>
    </row>
    <row r="179" spans="3:12" x14ac:dyDescent="0.25">
      <c r="F179" t="s">
        <v>69</v>
      </c>
      <c r="G179" s="5" t="s">
        <v>145</v>
      </c>
      <c r="H179" s="11">
        <f>H76*H$38^3/12/(1-$H$47^2)</f>
        <v>3368219.36576318</v>
      </c>
      <c r="I179" s="11">
        <f t="shared" ref="I179:J179" si="16">I76*I$38^3/12/(1-$H$47^2)</f>
        <v>1042372.3490075534</v>
      </c>
      <c r="J179" s="11">
        <f t="shared" si="16"/>
        <v>1795437.0229018531</v>
      </c>
      <c r="K179" s="21"/>
      <c r="L179" s="11"/>
    </row>
    <row r="180" spans="3:12" x14ac:dyDescent="0.25">
      <c r="G180" s="5"/>
      <c r="H180" s="21" t="str">
        <f>IF(H120&gt;16.7,"Trascurabile","Non trascurabile")</f>
        <v>Non trascurabile</v>
      </c>
      <c r="I180" s="21" t="str">
        <f t="shared" ref="I180:J180" si="17">IF(I120&gt;16.7,"Trascurabile","Non trascurabile")</f>
        <v>Non trascurabile</v>
      </c>
      <c r="J180" s="21" t="str">
        <f t="shared" si="17"/>
        <v>Non trascurabile</v>
      </c>
      <c r="K180" s="21"/>
      <c r="L180" s="11"/>
    </row>
    <row r="181" spans="3:12" x14ac:dyDescent="0.25">
      <c r="C181" t="s">
        <v>78</v>
      </c>
      <c r="E181" s="1"/>
      <c r="F181" s="11"/>
      <c r="G181" s="21"/>
      <c r="H181" s="11"/>
      <c r="L181" s="11"/>
    </row>
    <row r="182" spans="3:12" ht="15.75" x14ac:dyDescent="0.25">
      <c r="E182" s="1"/>
      <c r="F182" s="22" t="s">
        <v>79</v>
      </c>
      <c r="G182" s="21"/>
      <c r="H182" s="5" t="s">
        <v>2</v>
      </c>
      <c r="I182" s="5" t="s">
        <v>3</v>
      </c>
      <c r="J182" s="5" t="s">
        <v>147</v>
      </c>
      <c r="L182" s="11"/>
    </row>
    <row r="183" spans="3:12" x14ac:dyDescent="0.25">
      <c r="E183" s="1"/>
      <c r="F183" s="11" t="s">
        <v>80</v>
      </c>
      <c r="G183" s="5" t="s">
        <v>145</v>
      </c>
      <c r="H183" s="11">
        <f>H151</f>
        <v>12785.484096959506</v>
      </c>
      <c r="I183" s="11">
        <f>I151</f>
        <v>12785.484096959506</v>
      </c>
      <c r="J183" s="11">
        <f>J151</f>
        <v>12785.484096959506</v>
      </c>
      <c r="L183" s="11"/>
    </row>
    <row r="184" spans="3:12" x14ac:dyDescent="0.25">
      <c r="E184" s="1"/>
      <c r="F184" s="11"/>
      <c r="G184" s="21"/>
      <c r="L184" s="11"/>
    </row>
    <row r="185" spans="3:12" x14ac:dyDescent="0.25">
      <c r="E185" s="1"/>
      <c r="F185" t="s">
        <v>66</v>
      </c>
      <c r="G185" s="5" t="s">
        <v>145</v>
      </c>
      <c r="H185" s="11">
        <f>H151+H153+H157</f>
        <v>10453832.142356733</v>
      </c>
      <c r="I185" s="11">
        <f>I151+I153+I157</f>
        <v>10453832.142356733</v>
      </c>
      <c r="J185" s="11">
        <f>J151+J153+J157</f>
        <v>10453832.142356733</v>
      </c>
      <c r="L185" s="11"/>
    </row>
    <row r="186" spans="3:12" x14ac:dyDescent="0.25">
      <c r="E186" s="1"/>
      <c r="F186" t="s">
        <v>67</v>
      </c>
      <c r="G186" s="5" t="s">
        <v>145</v>
      </c>
      <c r="H186" s="11">
        <f>H151+H153+H159</f>
        <v>74735883.424408019</v>
      </c>
      <c r="I186" s="11">
        <f>I151+I153+I159</f>
        <v>74735883.424408019</v>
      </c>
      <c r="J186" s="11">
        <f>J151+J153+J159</f>
        <v>74735883.424408019</v>
      </c>
      <c r="L186" s="11"/>
    </row>
    <row r="187" spans="3:12" ht="18" x14ac:dyDescent="0.35">
      <c r="E187" s="1"/>
      <c r="G187" s="21"/>
      <c r="H187" s="10" t="s">
        <v>18</v>
      </c>
      <c r="L187" s="11"/>
    </row>
    <row r="188" spans="3:12" x14ac:dyDescent="0.25">
      <c r="E188" s="1"/>
      <c r="F188" t="s">
        <v>68</v>
      </c>
      <c r="G188" s="5" t="s">
        <v>145</v>
      </c>
      <c r="H188" s="11">
        <f>H151+H$153+H162</f>
        <v>9843239.0058239996</v>
      </c>
      <c r="I188" s="11">
        <f>I151+I$153+I162</f>
        <v>9835503.9031739887</v>
      </c>
      <c r="J188" s="11">
        <f>J151+J$153+J162</f>
        <v>9838008.3811180256</v>
      </c>
      <c r="L188" s="11"/>
    </row>
    <row r="189" spans="3:12" x14ac:dyDescent="0.25">
      <c r="E189" s="1"/>
      <c r="F189" t="s">
        <v>69</v>
      </c>
      <c r="G189" s="5" t="s">
        <v>145</v>
      </c>
      <c r="H189" s="11">
        <f>H151+H$153+H164</f>
        <v>11044596.242236605</v>
      </c>
      <c r="I189" s="11">
        <f>I151+I$153+I164</f>
        <v>10207291.31620458</v>
      </c>
      <c r="J189" s="11">
        <f>J151+J$153+J164</f>
        <v>10478394.598806528</v>
      </c>
      <c r="L189" s="11"/>
    </row>
    <row r="190" spans="3:12" ht="18" x14ac:dyDescent="0.35">
      <c r="E190" s="1"/>
      <c r="H190" s="10" t="s">
        <v>19</v>
      </c>
      <c r="L190" s="11"/>
    </row>
    <row r="191" spans="3:12" x14ac:dyDescent="0.25">
      <c r="E191" s="1"/>
      <c r="F191" t="s">
        <v>68</v>
      </c>
      <c r="G191" s="5" t="s">
        <v>145</v>
      </c>
      <c r="H191" s="11">
        <f>H151+H$153+H167</f>
        <v>9847284.0768908821</v>
      </c>
      <c r="I191" s="11">
        <f>I151+I$153+I167</f>
        <v>9836755.7427283693</v>
      </c>
      <c r="J191" s="11">
        <f>J151+J$153+J167</f>
        <v>9840164.6154855303</v>
      </c>
      <c r="L191" s="11"/>
    </row>
    <row r="192" spans="3:12" x14ac:dyDescent="0.25">
      <c r="E192" s="1"/>
      <c r="F192" t="s">
        <v>69</v>
      </c>
      <c r="G192" s="5" t="s">
        <v>145</v>
      </c>
      <c r="H192" s="11">
        <f>H151+H$153+H169</f>
        <v>11482464.75978582</v>
      </c>
      <c r="I192" s="11">
        <f>I151+I$153+I169</f>
        <v>10342799.721575562</v>
      </c>
      <c r="J192" s="11">
        <f>J151+J$153+J169</f>
        <v>10711801.41178377</v>
      </c>
      <c r="L192" s="11"/>
    </row>
    <row r="193" spans="2:12" ht="18" x14ac:dyDescent="0.35">
      <c r="E193" s="1"/>
      <c r="G193" s="21"/>
      <c r="H193" s="10" t="s">
        <v>20</v>
      </c>
      <c r="L193" s="11"/>
    </row>
    <row r="194" spans="2:12" x14ac:dyDescent="0.25">
      <c r="E194" s="1"/>
      <c r="F194" t="s">
        <v>68</v>
      </c>
      <c r="G194" s="5" t="s">
        <v>145</v>
      </c>
      <c r="H194" s="11">
        <f>H151+H$153+H172</f>
        <v>9851951.4665834401</v>
      </c>
      <c r="I194" s="11">
        <f>I151+I$153+I172</f>
        <v>9838200.172983421</v>
      </c>
      <c r="J194" s="11">
        <f>J151+J$153+J172</f>
        <v>9842652.5782172661</v>
      </c>
      <c r="L194" s="11"/>
    </row>
    <row r="195" spans="2:12" x14ac:dyDescent="0.25">
      <c r="E195" s="1"/>
      <c r="F195" t="s">
        <v>69</v>
      </c>
      <c r="G195" s="5" t="s">
        <v>145</v>
      </c>
      <c r="H195" s="11">
        <f>H151+H$153+H174</f>
        <v>11987697.664650295</v>
      </c>
      <c r="I195" s="11">
        <f>I151+I$153+I174</f>
        <v>10499155.573926695</v>
      </c>
      <c r="J195" s="11">
        <f>J151+J$153+J174</f>
        <v>10981116.965219047</v>
      </c>
      <c r="L195" s="11"/>
    </row>
    <row r="196" spans="2:12" ht="18" x14ac:dyDescent="0.35">
      <c r="E196" s="1"/>
      <c r="G196" s="5"/>
      <c r="H196" s="10" t="s">
        <v>150</v>
      </c>
      <c r="I196" s="11"/>
      <c r="J196" s="11"/>
      <c r="L196" s="11"/>
    </row>
    <row r="197" spans="2:12" x14ac:dyDescent="0.25">
      <c r="E197" s="1"/>
      <c r="F197" t="s">
        <v>68</v>
      </c>
      <c r="G197" s="5" t="s">
        <v>145</v>
      </c>
      <c r="H197" s="11">
        <f>H151+H$153+H177</f>
        <v>9863153.201845577</v>
      </c>
      <c r="I197" s="11">
        <f t="shared" ref="I197:J197" si="18">I151+I$153+I177</f>
        <v>9841666.8055955488</v>
      </c>
      <c r="J197" s="11">
        <f t="shared" si="18"/>
        <v>9848623.6887734309</v>
      </c>
      <c r="L197" s="11"/>
    </row>
    <row r="198" spans="2:12" x14ac:dyDescent="0.25">
      <c r="E198" s="1"/>
      <c r="F198" t="s">
        <v>69</v>
      </c>
      <c r="G198" s="5" t="s">
        <v>145</v>
      </c>
      <c r="H198" s="11">
        <f>H151+H$153+H179</f>
        <v>13200256.636325041</v>
      </c>
      <c r="I198" s="11">
        <f t="shared" ref="I198:J198" si="19">I151+I$153+I179</f>
        <v>10874409.619569413</v>
      </c>
      <c r="J198" s="11">
        <f t="shared" si="19"/>
        <v>11627474.293463714</v>
      </c>
      <c r="L198" s="11"/>
    </row>
    <row r="201" spans="2:12" x14ac:dyDescent="0.25">
      <c r="B201" s="9" t="s">
        <v>81</v>
      </c>
      <c r="C201" s="9"/>
      <c r="D201" s="9"/>
      <c r="E201" s="9"/>
    </row>
    <row r="202" spans="2:12" x14ac:dyDescent="0.25">
      <c r="C202" t="s">
        <v>82</v>
      </c>
    </row>
    <row r="203" spans="2:12" x14ac:dyDescent="0.25">
      <c r="C203" t="s">
        <v>83</v>
      </c>
    </row>
    <row r="204" spans="2:12" x14ac:dyDescent="0.25">
      <c r="C204" t="s">
        <v>84</v>
      </c>
    </row>
    <row r="205" spans="2:12" ht="17.25" x14ac:dyDescent="0.25">
      <c r="C205" t="s">
        <v>85</v>
      </c>
      <c r="F205" t="s">
        <v>138</v>
      </c>
      <c r="G205" t="s">
        <v>140</v>
      </c>
      <c r="H205">
        <v>1E-3</v>
      </c>
    </row>
    <row r="206" spans="2:12" x14ac:dyDescent="0.25">
      <c r="F206" s="4" t="s">
        <v>139</v>
      </c>
      <c r="G206" t="s">
        <v>62</v>
      </c>
      <c r="H206">
        <v>4.0600000000000002E-3</v>
      </c>
    </row>
    <row r="208" spans="2:12" x14ac:dyDescent="0.25">
      <c r="E208" t="s">
        <v>86</v>
      </c>
      <c r="F208" s="23" t="s">
        <v>87</v>
      </c>
    </row>
    <row r="209" spans="3:16" x14ac:dyDescent="0.25">
      <c r="F209" s="20" t="s">
        <v>88</v>
      </c>
      <c r="G209" s="1"/>
      <c r="H209" s="5" t="s">
        <v>2</v>
      </c>
      <c r="I209" s="5" t="s">
        <v>3</v>
      </c>
      <c r="J209" s="5" t="s">
        <v>147</v>
      </c>
    </row>
    <row r="210" spans="3:16" ht="18" x14ac:dyDescent="0.35">
      <c r="E210" s="1"/>
      <c r="F210" t="s">
        <v>13</v>
      </c>
      <c r="G210" s="1" t="s">
        <v>6</v>
      </c>
      <c r="H210" s="24">
        <f>$H$206*$H$205*H$14^4/H$183</f>
        <v>2.857667681308111</v>
      </c>
      <c r="I210" s="24">
        <f>$H$206*$H$205*I$14^4/I$183</f>
        <v>2.5721356931506851</v>
      </c>
      <c r="J210" s="24">
        <f>$H$206*$H$205*J$14^4/J$183</f>
        <v>3.055595563195888</v>
      </c>
    </row>
    <row r="211" spans="3:16" ht="18" x14ac:dyDescent="0.35">
      <c r="C211" s="19" t="s">
        <v>89</v>
      </c>
      <c r="E211" s="1"/>
      <c r="F211" s="25" t="s">
        <v>134</v>
      </c>
      <c r="G211" s="1"/>
      <c r="H211" s="26">
        <f>IF(H210&gt;H$14/2,"Senza senso",H210/H$14)</f>
        <v>9.2781418224289324E-3</v>
      </c>
      <c r="I211" s="26">
        <f>IF(I210&gt;I$14/2,"Senza senso",I210/I$14)</f>
        <v>8.5737856438356172E-3</v>
      </c>
      <c r="J211" s="26">
        <f>IF(J210&gt;J$14/2,"Senza senso",J210/J$14)</f>
        <v>9.7560522451975995E-3</v>
      </c>
    </row>
    <row r="212" spans="3:16" ht="18" x14ac:dyDescent="0.35">
      <c r="C212" s="27" t="s">
        <v>90</v>
      </c>
      <c r="E212" s="1"/>
      <c r="F212" t="s">
        <v>14</v>
      </c>
      <c r="G212" s="1" t="s">
        <v>6</v>
      </c>
      <c r="H212" s="24">
        <f>$H$206*$H$205*H$16^4/H$183</f>
        <v>39.532532544306122</v>
      </c>
      <c r="I212" s="24">
        <f>$H$206*$H$205*I$16^4/I$183</f>
        <v>41.154171090410962</v>
      </c>
      <c r="J212" s="24">
        <f>$H$206*$H$205*J$16^4/J$183</f>
        <v>41.23654118442807</v>
      </c>
      <c r="P212" s="25"/>
    </row>
    <row r="213" spans="3:16" ht="18" x14ac:dyDescent="0.35">
      <c r="C213" s="27" t="s">
        <v>91</v>
      </c>
      <c r="E213" s="1"/>
      <c r="F213" s="25" t="s">
        <v>135</v>
      </c>
      <c r="G213" s="1"/>
      <c r="H213" s="26">
        <f>IF(H212&gt;H$16/2,"Senza senso",H212/H$16)</f>
        <v>6.6553085091424449E-2</v>
      </c>
      <c r="I213" s="26">
        <f>IF(I212&gt;I$16/2,"Senza senso",I212/I$16)</f>
        <v>6.8590285150684938E-2</v>
      </c>
      <c r="J213" s="26">
        <f>IF(J212&gt;J$16/2,"Senza senso",J212/J$16)</f>
        <v>6.8693222029698603E-2</v>
      </c>
    </row>
    <row r="214" spans="3:16" ht="18" x14ac:dyDescent="0.35">
      <c r="E214" s="1"/>
      <c r="F214" t="s">
        <v>15</v>
      </c>
      <c r="G214" s="1" t="s">
        <v>6</v>
      </c>
      <c r="H214" s="24">
        <f>$H$206*$H$205*H$18^4/H$183</f>
        <v>139.41402851072706</v>
      </c>
      <c r="I214" s="24">
        <f>$H$206*$H$205*I$18^4/I$183</f>
        <v>136.69383649036934</v>
      </c>
      <c r="J214" s="24">
        <f>$H$206*$H$205*J$18^4/J$183</f>
        <v>136.08732012530047</v>
      </c>
      <c r="P214" s="25"/>
    </row>
    <row r="215" spans="3:16" ht="18" x14ac:dyDescent="0.35">
      <c r="E215" s="1"/>
      <c r="F215" s="25" t="s">
        <v>136</v>
      </c>
      <c r="G215" s="1"/>
      <c r="H215" s="26">
        <f>IF(H214&gt;H$18/2,"Senza senso",H214/H$18)</f>
        <v>0.1712703052957335</v>
      </c>
      <c r="I215" s="26">
        <f>IF(I214&gt;I$18/2,"Senza senso",I214/I$18)</f>
        <v>0.16875782282761648</v>
      </c>
      <c r="J215" s="26">
        <f>IF(J214&gt;J$18/2,"Senza senso",J214/J$18)</f>
        <v>0.16819592154900564</v>
      </c>
    </row>
    <row r="216" spans="3:16" ht="18" x14ac:dyDescent="0.35">
      <c r="E216" s="1"/>
      <c r="F216" t="s">
        <v>16</v>
      </c>
      <c r="G216" s="1" t="s">
        <v>6</v>
      </c>
      <c r="H216" s="24">
        <f>$H$206*$H$205*H20^4/H$183</f>
        <v>305.03497333569538</v>
      </c>
      <c r="I216" s="24">
        <f>$H$206*$H$205*I$20^4/I$183</f>
        <v>305.03497333569538</v>
      </c>
      <c r="J216" s="24">
        <f>$H$206*$H$205*J$20^4/J$183</f>
        <v>307.25946712287907</v>
      </c>
      <c r="P216" s="25"/>
    </row>
    <row r="217" spans="3:16" ht="18" x14ac:dyDescent="0.35">
      <c r="F217" s="25" t="s">
        <v>137</v>
      </c>
      <c r="H217" s="26">
        <f>IF(H216&gt;H20/2,"Senza senso",H216/H20)</f>
        <v>0.30811613468252058</v>
      </c>
      <c r="I217" s="26">
        <f>IF(I216&gt;I$20/2,"Senza senso",I216/I$20)</f>
        <v>0.30811613468252058</v>
      </c>
      <c r="J217" s="26">
        <f>IF(J216&gt;J$20/2,"Senza senso",J216/J$20)</f>
        <v>0.30979982569356634</v>
      </c>
    </row>
    <row r="218" spans="3:16" s="34" customFormat="1" ht="18" x14ac:dyDescent="0.35">
      <c r="F218" t="s">
        <v>158</v>
      </c>
      <c r="G218" s="1" t="s">
        <v>6</v>
      </c>
      <c r="H218" s="24">
        <f>$H$206*$H$205*H22^4/H$183</f>
        <v>731.56292641487642</v>
      </c>
      <c r="I218" s="24">
        <f t="shared" ref="I218:J218" si="20">$H$206*$H$205*I22^4/I$183</f>
        <v>726.82407284131739</v>
      </c>
      <c r="J218" s="24">
        <f t="shared" si="20"/>
        <v>719.05534401096065</v>
      </c>
      <c r="P218" s="36"/>
    </row>
    <row r="219" spans="3:16" s="34" customFormat="1" ht="18" x14ac:dyDescent="0.35">
      <c r="F219" s="25" t="s">
        <v>156</v>
      </c>
      <c r="H219" s="26" t="str">
        <f>IF(H218&gt;H22/2,"Senza senso",H218/H22)</f>
        <v>Senza senso</v>
      </c>
      <c r="I219" s="26" t="str">
        <f t="shared" ref="I219:J219" si="21">IF(I218&gt;I22/2,"Senza senso",I218/I22)</f>
        <v>Senza senso</v>
      </c>
      <c r="J219" s="26" t="str">
        <f t="shared" si="21"/>
        <v>Senza senso</v>
      </c>
      <c r="P219" s="36"/>
    </row>
    <row r="220" spans="3:16" s="34" customFormat="1" ht="18" x14ac:dyDescent="0.35">
      <c r="F220" t="s">
        <v>159</v>
      </c>
      <c r="G220" s="1" t="s">
        <v>6</v>
      </c>
      <c r="H220" s="24">
        <f>$H$206*$H$205*H24^4/H$183</f>
        <v>1786.0423008175694</v>
      </c>
      <c r="I220" s="24">
        <f t="shared" ref="I220:J220" si="22">$H$206*$H$205*I24^4/I$183</f>
        <v>1740.1014963438708</v>
      </c>
      <c r="J220" s="24">
        <f t="shared" si="22"/>
        <v>1785.5784389102478</v>
      </c>
      <c r="P220" s="36"/>
    </row>
    <row r="221" spans="3:16" s="34" customFormat="1" ht="18" x14ac:dyDescent="0.35">
      <c r="F221" s="25" t="s">
        <v>157</v>
      </c>
      <c r="H221" s="26" t="str">
        <f>IF(H220&gt;H24/2,"Senza senso",H220/H24)</f>
        <v>Senza senso</v>
      </c>
      <c r="I221" s="26" t="str">
        <f t="shared" ref="I221:J221" si="23">IF(I220&gt;I24/2,"Senza senso",I220/I24)</f>
        <v>Senza senso</v>
      </c>
      <c r="J221" s="26" t="str">
        <f t="shared" si="23"/>
        <v>Senza senso</v>
      </c>
      <c r="P221" s="36"/>
    </row>
    <row r="222" spans="3:16" s="34" customFormat="1" ht="18" x14ac:dyDescent="0.35">
      <c r="F222" t="s">
        <v>160</v>
      </c>
      <c r="G222" s="1" t="s">
        <v>6</v>
      </c>
      <c r="H222" s="24">
        <f>$H$206*$H$205*H26^4/H$183</f>
        <v>3363.2177779262342</v>
      </c>
      <c r="I222" s="24">
        <f t="shared" ref="I222:J222" si="24">$H$206*$H$205*I26^4/I$183</f>
        <v>3333.487858323288</v>
      </c>
      <c r="J222" s="24">
        <f t="shared" si="24"/>
        <v>3340.1598359386753</v>
      </c>
      <c r="P222" s="36"/>
    </row>
    <row r="223" spans="3:16" s="34" customFormat="1" ht="18" x14ac:dyDescent="0.35">
      <c r="F223" s="25" t="s">
        <v>161</v>
      </c>
      <c r="H223" s="26" t="str">
        <f>IF(H222&gt;H26/2,"Senza senso",H222/H26)</f>
        <v>Senza senso</v>
      </c>
      <c r="I223" s="26" t="str">
        <f t="shared" ref="I223:J223" si="25">IF(I222&gt;I26/2,"Senza senso",I222/I26)</f>
        <v>Senza senso</v>
      </c>
      <c r="J223" s="26" t="str">
        <f t="shared" si="25"/>
        <v>Senza senso</v>
      </c>
      <c r="P223" s="36"/>
    </row>
    <row r="224" spans="3:16" s="34" customFormat="1" ht="18" x14ac:dyDescent="0.35">
      <c r="F224" t="s">
        <v>172</v>
      </c>
      <c r="G224" s="1" t="s">
        <v>6</v>
      </c>
      <c r="H224" s="24">
        <f>$H$206*$H$205*H28^4/H$183</f>
        <v>5101.1154153650605</v>
      </c>
      <c r="I224" s="24">
        <f>$H$206*$H$205*I28^4/I$183</f>
        <v>5183.1417581098322</v>
      </c>
      <c r="J224" s="24">
        <f>$H$206*$H$205*J28^4/J$183</f>
        <v>5180.0480378300144</v>
      </c>
      <c r="P224" s="36"/>
    </row>
    <row r="225" spans="2:16" s="34" customFormat="1" ht="18" x14ac:dyDescent="0.35">
      <c r="F225" s="25" t="s">
        <v>173</v>
      </c>
      <c r="H225" s="26" t="str">
        <f>IF(H224&gt;H28/2,"Senza senso",H224/H28)</f>
        <v>Senza senso</v>
      </c>
      <c r="I225" s="26" t="str">
        <f>IF(I224&gt;I28/2,"Senza senso",I224/I28)</f>
        <v>Senza senso</v>
      </c>
      <c r="J225" s="26" t="str">
        <f>IF(J224&gt;J28/2,"Senza senso",J224/J28)</f>
        <v>Senza senso</v>
      </c>
      <c r="P225" s="36"/>
    </row>
    <row r="226" spans="2:16" s="34" customFormat="1" x14ac:dyDescent="0.25">
      <c r="H226" s="35"/>
      <c r="I226" s="35"/>
      <c r="J226" s="35"/>
      <c r="P226" s="36"/>
    </row>
    <row r="227" spans="2:16" x14ac:dyDescent="0.25">
      <c r="I227" s="28" t="s">
        <v>92</v>
      </c>
    </row>
    <row r="228" spans="2:16" x14ac:dyDescent="0.25">
      <c r="F228" s="20" t="s">
        <v>93</v>
      </c>
      <c r="G228" s="1"/>
      <c r="H228" s="5" t="s">
        <v>2</v>
      </c>
      <c r="I228" s="5" t="s">
        <v>3</v>
      </c>
      <c r="J228" s="5" t="s">
        <v>147</v>
      </c>
      <c r="M228" s="5"/>
    </row>
    <row r="229" spans="2:16" ht="18" x14ac:dyDescent="0.35">
      <c r="F229" t="s">
        <v>13</v>
      </c>
      <c r="G229" s="1" t="s">
        <v>6</v>
      </c>
      <c r="H229" s="24">
        <f>$H$206*$H$205*H$14^4/H$185</f>
        <v>3.4950498722589114E-3</v>
      </c>
      <c r="I229" s="24">
        <f>$H$206*$H$205*I$14^4/I$185</f>
        <v>3.1458320309882184E-3</v>
      </c>
      <c r="J229" s="24">
        <f>$H$206*$H$205*J$14^4/J$185</f>
        <v>3.7371241424174664E-3</v>
      </c>
      <c r="M229" s="24"/>
    </row>
    <row r="230" spans="2:16" ht="18" x14ac:dyDescent="0.35">
      <c r="F230" s="25" t="s">
        <v>134</v>
      </c>
      <c r="G230" s="1"/>
      <c r="H230" s="26">
        <f>IF(H229&gt;H$14/2,"Senza senso",H229/H$14)</f>
        <v>1.1347564520321141E-5</v>
      </c>
      <c r="I230" s="26">
        <f>IF(I229&gt;I$14/2,"Senza senso",I229/I$14)</f>
        <v>1.0486106769960727E-5</v>
      </c>
      <c r="J230" s="26">
        <f>IF(J229&gt;J$14/2,"Senza senso",J229/J$14)</f>
        <v>1.1932069420234567E-5</v>
      </c>
      <c r="M230" s="26"/>
    </row>
    <row r="231" spans="2:16" ht="18" x14ac:dyDescent="0.35">
      <c r="F231" t="s">
        <v>14</v>
      </c>
      <c r="G231" s="1" t="s">
        <v>6</v>
      </c>
      <c r="H231" s="24">
        <f>$H$206*$H$205*H$16^4/H$185</f>
        <v>4.8349979153559666E-2</v>
      </c>
      <c r="I231" s="24">
        <f>$H$206*$H$205*I$16^4/I$185</f>
        <v>5.0333312495811494E-2</v>
      </c>
      <c r="J231" s="24">
        <f>$H$206*$H$205*J$16^4/J$185</f>
        <v>5.043405464594166E-2</v>
      </c>
      <c r="M231" s="24"/>
    </row>
    <row r="232" spans="2:16" ht="18" x14ac:dyDescent="0.35">
      <c r="F232" s="25" t="s">
        <v>135</v>
      </c>
      <c r="G232" s="1"/>
      <c r="H232" s="26">
        <f>IF(H231&gt;H$16/2,"Senza senso",H231/H$16)</f>
        <v>8.1397271302289004E-5</v>
      </c>
      <c r="I232" s="26">
        <f>IF(I231&gt;I$16/2,"Senza senso",I231/I$16)</f>
        <v>8.3888854159685819E-5</v>
      </c>
      <c r="J232" s="26">
        <f>IF(J231&gt;J$16/2,"Senza senso",J231/J$16)</f>
        <v>8.4014750368052076E-5</v>
      </c>
      <c r="M232" s="26"/>
    </row>
    <row r="233" spans="2:16" ht="18" x14ac:dyDescent="0.35">
      <c r="F233" t="s">
        <v>15</v>
      </c>
      <c r="G233" s="1" t="s">
        <v>6</v>
      </c>
      <c r="H233" s="24">
        <f>$H$206*$H$205*H$18^4/H$185</f>
        <v>0.17050932329348797</v>
      </c>
      <c r="I233" s="24">
        <f>$H$206*$H$205*I$18^4/I$185</f>
        <v>0.16718241203804099</v>
      </c>
      <c r="J233" s="24">
        <f>$H$206*$H$205*J$18^4/J$185</f>
        <v>0.16644061656681722</v>
      </c>
      <c r="M233" s="24"/>
    </row>
    <row r="234" spans="2:16" ht="18" x14ac:dyDescent="0.35">
      <c r="F234" s="25" t="s">
        <v>136</v>
      </c>
      <c r="G234" s="1"/>
      <c r="H234" s="26">
        <f>IF(H233&gt;H$18/2,"Senza senso",H233/H$18)</f>
        <v>2.0947091313696311E-4</v>
      </c>
      <c r="I234" s="26">
        <f>IF(I233&gt;I$18/2,"Senza senso",I233/I$18)</f>
        <v>2.0639803955313702E-4</v>
      </c>
      <c r="J234" s="26">
        <f>IF(J233&gt;J$18/2,"Senza senso",J233/J$18)</f>
        <v>2.0571081024201856E-4</v>
      </c>
      <c r="M234" s="26"/>
    </row>
    <row r="235" spans="2:16" ht="18" x14ac:dyDescent="0.35">
      <c r="F235" t="s">
        <v>16</v>
      </c>
      <c r="G235" s="1" t="s">
        <v>6</v>
      </c>
      <c r="H235" s="24">
        <f>$H$206*$H$205*H20^4/H$185</f>
        <v>0.37307082680215792</v>
      </c>
      <c r="I235" s="24">
        <f>$H$206*$H$205*I$20^4/I$185</f>
        <v>0.37307082680215792</v>
      </c>
      <c r="J235" s="24">
        <f>$H$206*$H$205*J$20^4/J$185</f>
        <v>0.37579147790431067</v>
      </c>
      <c r="M235" s="24"/>
    </row>
    <row r="236" spans="2:16" ht="18" x14ac:dyDescent="0.35">
      <c r="B236" s="1"/>
      <c r="F236" s="25" t="s">
        <v>137</v>
      </c>
      <c r="H236" s="26">
        <f>IF(H235&gt;H20/2,"Senza senso",H235/H20)</f>
        <v>3.7683921899207872E-4</v>
      </c>
      <c r="I236" s="26">
        <f>IF(I235&gt;I$20/2,"Senza senso",I235/I$20)</f>
        <v>3.7683921899207872E-4</v>
      </c>
      <c r="J236" s="26">
        <f>IF(J235&gt;J$20/2,"Senza senso",J235/J$20)</f>
        <v>3.788984451545782E-4</v>
      </c>
      <c r="M236" s="26"/>
    </row>
    <row r="237" spans="2:16" s="34" customFormat="1" ht="18" x14ac:dyDescent="0.35">
      <c r="F237" t="s">
        <v>158</v>
      </c>
      <c r="G237" s="1" t="s">
        <v>6</v>
      </c>
      <c r="H237" s="24">
        <f>$H$206*$H$205*H22^4/H$185</f>
        <v>0.89473276729828133</v>
      </c>
      <c r="I237" s="24">
        <f>$H$206*$H$205*I22^4/I$185</f>
        <v>0.88893694657172995</v>
      </c>
      <c r="J237" s="24">
        <f>$H$206*$H$205*J22^4/J$185</f>
        <v>0.87943545873822404</v>
      </c>
    </row>
    <row r="238" spans="2:16" s="34" customFormat="1" ht="18" x14ac:dyDescent="0.35">
      <c r="F238" s="25" t="s">
        <v>156</v>
      </c>
      <c r="H238" s="26">
        <f>IF(H237&gt;H22/2,"Senza senso",H237/H22)</f>
        <v>7.2624412930055303E-4</v>
      </c>
      <c r="I238" s="26">
        <f>IF(I237&gt;I22/2,"Senza senso",I237/I22)</f>
        <v>7.2271296469246342E-4</v>
      </c>
      <c r="J238" s="26">
        <f>IF(J237&gt;J22/2,"Senza senso",J237/J22)</f>
        <v>7.169115991996609E-4</v>
      </c>
    </row>
    <row r="239" spans="2:16" s="34" customFormat="1" ht="18" x14ac:dyDescent="0.35">
      <c r="F239" t="s">
        <v>159</v>
      </c>
      <c r="G239" s="1" t="s">
        <v>6</v>
      </c>
      <c r="H239" s="24">
        <f>$H$206*$H$205*H24^4/H$185</f>
        <v>2.1844061701618198</v>
      </c>
      <c r="I239" s="24">
        <f>$H$206*$H$205*I24^4/I$185</f>
        <v>2.1282186001873526</v>
      </c>
      <c r="J239" s="24">
        <f>$H$206*$H$205*J24^4/J$185</f>
        <v>2.1838388471975243</v>
      </c>
    </row>
    <row r="240" spans="2:16" s="34" customFormat="1" ht="18" x14ac:dyDescent="0.35">
      <c r="F240" s="25" t="s">
        <v>157</v>
      </c>
      <c r="H240" s="26">
        <f>IF(H239&gt;H24/2,"Senza senso",H239/H24)</f>
        <v>1.4184455650401427E-3</v>
      </c>
      <c r="I240" s="26">
        <f>IF(I239&gt;I24/2,"Senza senso",I239/I24)</f>
        <v>1.3909925491420606E-3</v>
      </c>
      <c r="J240" s="26">
        <f>IF(J239&gt;J24/2,"Senza senso",J239/J24)</f>
        <v>1.41816926241803E-3</v>
      </c>
    </row>
    <row r="241" spans="6:13" s="34" customFormat="1" ht="18" x14ac:dyDescent="0.35">
      <c r="F241" t="s">
        <v>160</v>
      </c>
      <c r="G241" s="1" t="s">
        <v>6</v>
      </c>
      <c r="H241" s="24">
        <f>$H$206*$H$205*H26^4/H$185</f>
        <v>4.1133592761700175</v>
      </c>
      <c r="I241" s="24">
        <f>$H$206*$H$205*I26^4/I$185</f>
        <v>4.0769983121607307</v>
      </c>
      <c r="J241" s="24">
        <f>$H$206*$H$205*J26^4/J$185</f>
        <v>4.0851584263212759</v>
      </c>
    </row>
    <row r="242" spans="6:13" s="34" customFormat="1" ht="18" x14ac:dyDescent="0.35">
      <c r="F242" s="25" t="s">
        <v>161</v>
      </c>
      <c r="H242" s="26">
        <f>IF(H241&gt;H26/2,"Senza senso",H241/H26)</f>
        <v>2.280132636457881E-3</v>
      </c>
      <c r="I242" s="26">
        <f>IF(I241&gt;I26/2,"Senza senso",I241/I26)</f>
        <v>2.2649990623115172E-3</v>
      </c>
      <c r="J242" s="26">
        <f>IF(J241&gt;J26/2,"Senza senso",J241/J26)</f>
        <v>2.2683982599374067E-3</v>
      </c>
    </row>
    <row r="243" spans="6:13" s="34" customFormat="1" ht="18" x14ac:dyDescent="0.35">
      <c r="F243" t="s">
        <v>172</v>
      </c>
      <c r="G243" s="1" t="s">
        <v>6</v>
      </c>
      <c r="H243" s="24">
        <f>$H$206*$H$205*H28^4/H$185</f>
        <v>6.2388824625991735</v>
      </c>
      <c r="I243" s="24">
        <f>$H$206*$H$205*I28^4/I$185</f>
        <v>6.3392041902119338</v>
      </c>
      <c r="J243" s="24">
        <f>$H$206*$H$205*J28^4/J$185</f>
        <v>6.3354204379094847</v>
      </c>
    </row>
    <row r="244" spans="6:13" s="34" customFormat="1" ht="18" x14ac:dyDescent="0.35">
      <c r="F244" s="25" t="s">
        <v>173</v>
      </c>
      <c r="H244" s="26">
        <f>IF(H243&gt;H28/2,"Senza senso",H243/H28)</f>
        <v>3.1163249063931933E-3</v>
      </c>
      <c r="I244" s="26">
        <f>IF(I243&gt;I28/2,"Senza senso",I243/I28)</f>
        <v>3.1538329304536985E-3</v>
      </c>
      <c r="J244" s="26">
        <f>IF(J243&gt;J28/2,"Senza senso",J243/J28)</f>
        <v>3.1524209772152484E-3</v>
      </c>
    </row>
    <row r="245" spans="6:13" s="34" customFormat="1" x14ac:dyDescent="0.25">
      <c r="G245" s="36"/>
      <c r="H245" s="36"/>
      <c r="I245" s="36"/>
      <c r="J245" s="36"/>
    </row>
    <row r="246" spans="6:13" x14ac:dyDescent="0.25">
      <c r="F246" s="20" t="s">
        <v>94</v>
      </c>
      <c r="G246" s="1"/>
      <c r="H246" s="5" t="s">
        <v>2</v>
      </c>
      <c r="I246" s="5" t="s">
        <v>3</v>
      </c>
      <c r="J246" s="5" t="s">
        <v>147</v>
      </c>
      <c r="M246" s="5"/>
    </row>
    <row r="247" spans="6:13" ht="18" x14ac:dyDescent="0.35">
      <c r="F247" t="s">
        <v>13</v>
      </c>
      <c r="G247" s="1" t="s">
        <v>6</v>
      </c>
      <c r="H247" s="24">
        <f>$H$206*$H$205*H$14^4/H$186</f>
        <v>4.888771366530402E-4</v>
      </c>
      <c r="I247" s="24">
        <f>$H$206*$H$205*I$14^4/I$186</f>
        <v>4.4002958810626371E-4</v>
      </c>
      <c r="J247" s="24">
        <f>$H$206*$H$205*J$14^4/J$186</f>
        <v>5.2273776250328047E-4</v>
      </c>
      <c r="M247" s="24"/>
    </row>
    <row r="248" spans="6:13" ht="18" x14ac:dyDescent="0.35">
      <c r="F248" s="25" t="s">
        <v>134</v>
      </c>
      <c r="G248" s="1"/>
      <c r="H248" s="26">
        <f>IF(H247&gt;H$14/2,"Senza senso",H247/H$14)</f>
        <v>1.5872634306916889E-6</v>
      </c>
      <c r="I248" s="26">
        <f>IF(I247&gt;I$14/2,"Senza senso",I247/I$14)</f>
        <v>1.4667652936875456E-6</v>
      </c>
      <c r="J248" s="26">
        <f>IF(J247&gt;J$14/2,"Senza senso",J247/J$14)</f>
        <v>1.6690222302148164E-6</v>
      </c>
      <c r="M248" s="26"/>
    </row>
    <row r="249" spans="6:13" ht="18" x14ac:dyDescent="0.35">
      <c r="F249" t="s">
        <v>14</v>
      </c>
      <c r="G249" s="1" t="s">
        <v>6</v>
      </c>
      <c r="H249" s="24">
        <f>$H$206*$H$205*H$16^4/H$186</f>
        <v>6.7630506658691259E-3</v>
      </c>
      <c r="I249" s="24">
        <f>$H$206*$H$205*I$16^4/I$186</f>
        <v>7.0404734097002193E-3</v>
      </c>
      <c r="J249" s="24">
        <f>$H$206*$H$205*J$16^4/J$186</f>
        <v>7.0545649207504101E-3</v>
      </c>
      <c r="M249" s="24"/>
    </row>
    <row r="250" spans="6:13" ht="18" x14ac:dyDescent="0.35">
      <c r="F250" s="25" t="s">
        <v>135</v>
      </c>
      <c r="G250" s="1"/>
      <c r="H250" s="26">
        <f>IF(H249&gt;H$16/2,"Senza senso",H249/H$16)</f>
        <v>1.1385607181597856E-5</v>
      </c>
      <c r="I250" s="26">
        <f>IF(I249&gt;I$16/2,"Senza senso",I249/I$16)</f>
        <v>1.1734122349500365E-5</v>
      </c>
      <c r="J250" s="26">
        <f>IF(J249&gt;J$16/2,"Senza senso",J249/J$16)</f>
        <v>1.1751732335083143E-5</v>
      </c>
      <c r="M250" s="26"/>
    </row>
    <row r="251" spans="6:13" ht="18" x14ac:dyDescent="0.35">
      <c r="F251" t="s">
        <v>15</v>
      </c>
      <c r="G251" s="1" t="s">
        <v>6</v>
      </c>
      <c r="H251" s="24">
        <f>$H$206*$H$205*H$18^4/H$186</f>
        <v>2.3850334842430199E-2</v>
      </c>
      <c r="I251" s="24">
        <f>$H$206*$H$205*I$18^4/I$186</f>
        <v>2.3384976433278089E-2</v>
      </c>
      <c r="J251" s="24">
        <f>$H$206*$H$205*J$18^4/J$186</f>
        <v>2.3281216298456413E-2</v>
      </c>
      <c r="M251" s="24"/>
    </row>
    <row r="252" spans="6:13" ht="18" x14ac:dyDescent="0.35">
      <c r="F252" s="25" t="s">
        <v>136</v>
      </c>
      <c r="G252" s="1"/>
      <c r="H252" s="26">
        <f>IF(H251&gt;H$18/2,"Senza senso",H251/H$18)</f>
        <v>2.9300165654091153E-5</v>
      </c>
      <c r="I252" s="26">
        <f>IF(I251&gt;I$18/2,"Senza senso",I251/I$18)</f>
        <v>2.8870341275651961E-5</v>
      </c>
      <c r="J252" s="26">
        <f>IF(J251&gt;J$18/2,"Senza senso",J251/J$18)</f>
        <v>2.8774213692320372E-5</v>
      </c>
      <c r="M252" s="26"/>
    </row>
    <row r="253" spans="6:13" ht="18" x14ac:dyDescent="0.35">
      <c r="F253" t="s">
        <v>16</v>
      </c>
      <c r="G253" s="1" t="s">
        <v>6</v>
      </c>
      <c r="H253" s="24">
        <f>$H$206*$H$205*H20^4/H$186</f>
        <v>5.2184032915656833E-2</v>
      </c>
      <c r="I253" s="24">
        <f>$H$206*$H$205*I$20^4/I$186</f>
        <v>5.2184032915656833E-2</v>
      </c>
      <c r="J253" s="24">
        <f>$H$206*$H$205*J$20^4/J$186</f>
        <v>5.2564589465424388E-2</v>
      </c>
      <c r="M253" s="24"/>
    </row>
    <row r="254" spans="6:13" ht="18" x14ac:dyDescent="0.35">
      <c r="F254" s="25" t="s">
        <v>137</v>
      </c>
      <c r="H254" s="26">
        <f>IF(H253&gt;H20/2,"Senza senso",H253/H20)</f>
        <v>5.2711144359249324E-5</v>
      </c>
      <c r="I254" s="26">
        <f>IF(I253&gt;I$20/2,"Senza senso",I253/I$20)</f>
        <v>5.2711144359249324E-5</v>
      </c>
      <c r="J254" s="26">
        <f>IF(J253&gt;J$20/2,"Senza senso",J253/J$20)</f>
        <v>5.2999182764089926E-5</v>
      </c>
      <c r="M254" s="26"/>
    </row>
    <row r="255" spans="6:13" ht="18" x14ac:dyDescent="0.35">
      <c r="F255" t="s">
        <v>158</v>
      </c>
      <c r="G255" s="1" t="s">
        <v>6</v>
      </c>
      <c r="H255" s="24">
        <f>$H$206*$H$205*H22^4/H$186</f>
        <v>0.12515254698317829</v>
      </c>
      <c r="I255" s="24">
        <f>$H$206*$H$205*I22^4/I$186</f>
        <v>0.12434184489167438</v>
      </c>
      <c r="J255" s="24">
        <f>$H$206*$H$205*J22^4/J$186</f>
        <v>0.1230128051538277</v>
      </c>
    </row>
    <row r="256" spans="6:13" ht="18" x14ac:dyDescent="0.35">
      <c r="F256" s="25" t="s">
        <v>156</v>
      </c>
      <c r="G256" s="34"/>
      <c r="H256" s="26">
        <f>IF(H255&gt;H22/2,"Senza senso",H255/H22)</f>
        <v>1.0158485956426809E-4</v>
      </c>
      <c r="I256" s="26">
        <f>IF(I255&gt;I22/2,"Senza senso",I255/I22)</f>
        <v>1.0109093080623933E-4</v>
      </c>
      <c r="J256" s="26">
        <f>IF(J255&gt;J22/2,"Senza senso",J255/J22)</f>
        <v>1.0027945312939407E-4</v>
      </c>
    </row>
    <row r="257" spans="6:13" ht="18" x14ac:dyDescent="0.35">
      <c r="F257" t="s">
        <v>159</v>
      </c>
      <c r="G257" s="1" t="s">
        <v>6</v>
      </c>
      <c r="H257" s="24">
        <f>$H$206*$H$205*H24^4/H$186</f>
        <v>0.30554821040815011</v>
      </c>
      <c r="I257" s="24">
        <f>$H$206*$H$205*I24^4/I$186</f>
        <v>0.2976888609486083</v>
      </c>
      <c r="J257" s="24">
        <f>$H$206*$H$205*J24^4/J$186</f>
        <v>0.30546885496645998</v>
      </c>
    </row>
    <row r="258" spans="6:13" ht="18" x14ac:dyDescent="0.35">
      <c r="F258" s="25" t="s">
        <v>157</v>
      </c>
      <c r="G258" s="34"/>
      <c r="H258" s="26">
        <f>IF(H257&gt;H24/2,"Senza senso",H257/H24)</f>
        <v>1.9840792883646111E-4</v>
      </c>
      <c r="I258" s="26">
        <f>IF(I257&gt;I24/2,"Senza senso",I257/I24)</f>
        <v>1.9456788297294661E-4</v>
      </c>
      <c r="J258" s="26">
        <f>IF(J257&gt;J24/2,"Senza senso",J257/J24)</f>
        <v>1.983692804509773E-4</v>
      </c>
    </row>
    <row r="259" spans="6:13" ht="18" x14ac:dyDescent="0.35">
      <c r="F259" t="s">
        <v>160</v>
      </c>
      <c r="G259" s="1" t="s">
        <v>6</v>
      </c>
      <c r="H259" s="24">
        <f>$H$206*$H$205*H26^4/H$186</f>
        <v>0.57536440922358656</v>
      </c>
      <c r="I259" s="24">
        <f>$H$206*$H$205*I26^4/I$186</f>
        <v>0.57027834618571771</v>
      </c>
      <c r="J259" s="24">
        <f>$H$206*$H$205*J26^4/J$186</f>
        <v>0.57141975858078353</v>
      </c>
    </row>
    <row r="260" spans="6:13" ht="18" x14ac:dyDescent="0.35">
      <c r="F260" s="25" t="s">
        <v>161</v>
      </c>
      <c r="G260" s="34"/>
      <c r="H260" s="26">
        <f>IF(H259&gt;H26/2,"Senza senso",H259/H26)</f>
        <v>3.1893814258513668E-4</v>
      </c>
      <c r="I260" s="26">
        <f>IF(I259&gt;I26/2,"Senza senso",I259/I26)</f>
        <v>3.1682130343650981E-4</v>
      </c>
      <c r="J260" s="26">
        <f>IF(J259&gt;J26/2,"Senza senso",J259/J26)</f>
        <v>3.1729677304724498E-4</v>
      </c>
    </row>
    <row r="261" spans="6:13" ht="18" x14ac:dyDescent="0.35">
      <c r="F261" t="s">
        <v>172</v>
      </c>
      <c r="G261" s="1" t="s">
        <v>6</v>
      </c>
      <c r="H261" s="24">
        <f>$H$206*$H$205*H28^4/H$186</f>
        <v>0.87267624374671759</v>
      </c>
      <c r="I261" s="24">
        <f>$H$206*$H$205*I28^4/I$186</f>
        <v>0.88670894735094807</v>
      </c>
      <c r="J261" s="24">
        <f>$H$206*$H$205*J28^4/J$186</f>
        <v>0.88617968738069464</v>
      </c>
    </row>
    <row r="262" spans="6:13" ht="18" x14ac:dyDescent="0.35">
      <c r="F262" s="25" t="s">
        <v>173</v>
      </c>
      <c r="G262" s="34"/>
      <c r="H262" s="26">
        <f>IF(H261&gt;H28/2,"Senza senso",H261/H28)</f>
        <v>4.3590221965370511E-4</v>
      </c>
      <c r="I262" s="26">
        <f>IF(I261&gt;I28/2,"Senza senso",I261/I28)</f>
        <v>4.4114873002534729E-4</v>
      </c>
      <c r="J262" s="26">
        <f>IF(J261&gt;J28/2,"Senza senso",J261/J28)</f>
        <v>4.4095123022376207E-4</v>
      </c>
    </row>
    <row r="263" spans="6:13" x14ac:dyDescent="0.25">
      <c r="G263" s="24"/>
      <c r="J263" s="24"/>
    </row>
    <row r="264" spans="6:13" ht="18" x14ac:dyDescent="0.35">
      <c r="G264" s="24"/>
      <c r="H264" s="10" t="s">
        <v>18</v>
      </c>
      <c r="I264" s="28" t="s">
        <v>92</v>
      </c>
      <c r="J264" s="24"/>
    </row>
    <row r="265" spans="6:13" x14ac:dyDescent="0.25">
      <c r="F265" s="20" t="s">
        <v>95</v>
      </c>
      <c r="G265" s="1"/>
      <c r="H265" s="5" t="s">
        <v>2</v>
      </c>
      <c r="I265" s="5" t="s">
        <v>3</v>
      </c>
      <c r="J265" s="5" t="s">
        <v>147</v>
      </c>
      <c r="M265" s="5"/>
    </row>
    <row r="266" spans="6:13" ht="18" x14ac:dyDescent="0.35">
      <c r="F266" t="s">
        <v>13</v>
      </c>
      <c r="G266" s="1" t="s">
        <v>6</v>
      </c>
      <c r="H266" s="24">
        <f>$H$206*$H$205*H$14^4/H$188</f>
        <v>3.7118538595011423E-3</v>
      </c>
      <c r="I266" s="24">
        <f>$H$206*$H$205*I$14^4/I$188</f>
        <v>3.3436009302367769E-3</v>
      </c>
      <c r="J266" s="24">
        <f>$H$206*$H$205*J$14^4/J$188</f>
        <v>3.9710546044016796E-3</v>
      </c>
      <c r="M266" s="24"/>
    </row>
    <row r="267" spans="6:13" ht="18" x14ac:dyDescent="0.35">
      <c r="F267" s="25" t="s">
        <v>134</v>
      </c>
      <c r="G267" s="1"/>
      <c r="H267" s="26">
        <f>IF(H266&gt;H$14/2,"Senza senso",H266/H$14)</f>
        <v>1.2051473569808904E-5</v>
      </c>
      <c r="I267" s="26">
        <f>IF(I266&gt;I$14/2,"Senza senso",I266/I$14)</f>
        <v>1.114533643412259E-5</v>
      </c>
      <c r="J267" s="26">
        <f>IF(J266&gt;J$14/2,"Senza senso",J266/J$14)</f>
        <v>1.2678973832700128E-5</v>
      </c>
      <c r="M267" s="26"/>
    </row>
    <row r="268" spans="6:13" ht="18" x14ac:dyDescent="0.35">
      <c r="F268" t="s">
        <v>14</v>
      </c>
      <c r="G268" s="1" t="s">
        <v>6</v>
      </c>
      <c r="H268" s="24">
        <f>$H$206*$H$205*H$16^4/H$188</f>
        <v>5.1349211967595447E-2</v>
      </c>
      <c r="I268" s="24">
        <f>$H$206*$H$205*I$16^4/I$188</f>
        <v>5.349761488378843E-2</v>
      </c>
      <c r="J268" s="24">
        <f>$H$206*$H$205*J$16^4/J$188</f>
        <v>5.3591044152699198E-2</v>
      </c>
      <c r="M268" s="24"/>
    </row>
    <row r="269" spans="6:13" ht="18" x14ac:dyDescent="0.35">
      <c r="F269" s="25" t="s">
        <v>135</v>
      </c>
      <c r="G269" s="1"/>
      <c r="H269" s="26">
        <f>IF(H268&gt;H$16/2,"Senza senso",H268/H$16)</f>
        <v>8.6446484793931729E-5</v>
      </c>
      <c r="I269" s="26">
        <f>IF(I268&gt;I$16/2,"Senza senso",I268/I$16)</f>
        <v>8.9162691472980719E-5</v>
      </c>
      <c r="J269" s="26">
        <f>IF(J268&gt;J$16/2,"Senza senso",J268/J$16)</f>
        <v>8.9273770036147257E-5</v>
      </c>
      <c r="M269" s="26"/>
    </row>
    <row r="270" spans="6:13" ht="18" x14ac:dyDescent="0.35">
      <c r="F270" t="s">
        <v>15</v>
      </c>
      <c r="G270" s="1" t="s">
        <v>6</v>
      </c>
      <c r="H270" s="24">
        <f>$H$206*$H$205*H$18^4/H$188</f>
        <v>0.18108631146336215</v>
      </c>
      <c r="I270" s="24">
        <f>$H$206*$H$205*I$18^4/I$188</f>
        <v>0.17769266219659632</v>
      </c>
      <c r="J270" s="24">
        <f>$H$206*$H$205*J$18^4/J$188</f>
        <v>0.17685919749766804</v>
      </c>
      <c r="M270" s="24"/>
    </row>
    <row r="271" spans="6:13" ht="18" x14ac:dyDescent="0.35">
      <c r="F271" s="25" t="s">
        <v>136</v>
      </c>
      <c r="G271" s="1"/>
      <c r="H271" s="26">
        <f>IF(H270&gt;H$18/2,"Senza senso",H270/H$18)</f>
        <v>2.2246475609749651E-4</v>
      </c>
      <c r="I271" s="26">
        <f>IF(I270&gt;I$18/2,"Senza senso",I270/I$18)</f>
        <v>2.1937365703283496E-4</v>
      </c>
      <c r="J271" s="26">
        <f>IF(J270&gt;J$18/2,"Senza senso",J270/J$18)</f>
        <v>2.1858756333910276E-4</v>
      </c>
      <c r="M271" s="26"/>
    </row>
    <row r="272" spans="6:13" ht="18" x14ac:dyDescent="0.35">
      <c r="F272" t="s">
        <v>16</v>
      </c>
      <c r="G272" s="1" t="s">
        <v>6</v>
      </c>
      <c r="H272" s="24">
        <f>$H$206*$H$205*H20^4/H$188</f>
        <v>0.39621305530552042</v>
      </c>
      <c r="I272" s="24">
        <f>$H$206*$H$205*I$20^4/I$188</f>
        <v>0.39652465587873292</v>
      </c>
      <c r="J272" s="24">
        <f>$H$206*$H$205*J$20^4/J$188</f>
        <v>0.39931466597240067</v>
      </c>
      <c r="M272" s="24"/>
    </row>
    <row r="273" spans="3:14" ht="18" x14ac:dyDescent="0.35">
      <c r="F273" s="25" t="s">
        <v>137</v>
      </c>
      <c r="H273" s="26">
        <f>IF(H272&gt;H20/2,"Senza senso",H272/H20)</f>
        <v>4.0021520737931358E-4</v>
      </c>
      <c r="I273" s="26">
        <f>IF(I272&gt;I$20/2,"Senza senso",I272/I$20)</f>
        <v>4.0052995543306356E-4</v>
      </c>
      <c r="J273" s="26">
        <f>IF(J272&gt;J$20/2,"Senza senso",J272/J$20)</f>
        <v>4.0261611814115822E-4</v>
      </c>
      <c r="M273" s="26"/>
    </row>
    <row r="274" spans="3:14" s="31" customFormat="1" ht="18" x14ac:dyDescent="0.35">
      <c r="F274" t="s">
        <v>158</v>
      </c>
      <c r="G274" s="1" t="s">
        <v>6</v>
      </c>
      <c r="H274" s="24">
        <f>$H$206*$H$205*H22^4/H$188</f>
        <v>0.95023458803229244</v>
      </c>
      <c r="I274" s="24">
        <f>$H$206*$H$205*I22^4/I$188</f>
        <v>0.94482171082268063</v>
      </c>
      <c r="J274" s="24">
        <f>$H$206*$H$205*J22^4/J$188</f>
        <v>0.93448493938374821</v>
      </c>
      <c r="K274" s="32"/>
      <c r="L274" s="32"/>
      <c r="M274" s="32"/>
    </row>
    <row r="275" spans="3:14" s="31" customFormat="1" ht="18" x14ac:dyDescent="0.35">
      <c r="F275" s="25" t="s">
        <v>156</v>
      </c>
      <c r="G275" s="34"/>
      <c r="H275" s="26">
        <f>IF(H274&gt;H22/2,"Senza senso",H274/H22)</f>
        <v>7.7129430846776983E-4</v>
      </c>
      <c r="I275" s="26">
        <f>IF(I274&gt;I22/2,"Senza senso",I274/I22)</f>
        <v>7.6814773237616314E-4</v>
      </c>
      <c r="J275" s="26">
        <f>IF(J274&gt;J22/2,"Senza senso",J274/J22)</f>
        <v>7.617876737456168E-4</v>
      </c>
      <c r="K275" s="32"/>
      <c r="L275" s="32"/>
      <c r="M275" s="32"/>
    </row>
    <row r="276" spans="3:14" s="31" customFormat="1" ht="18" x14ac:dyDescent="0.35">
      <c r="F276" t="s">
        <v>159</v>
      </c>
      <c r="G276" s="1" t="s">
        <v>6</v>
      </c>
      <c r="H276" s="24">
        <f>$H$206*$H$205*H24^4/H$188</f>
        <v>2.3199086621882139</v>
      </c>
      <c r="I276" s="24">
        <f>$H$206*$H$205*I24^4/I$188</f>
        <v>2.2620132356838774</v>
      </c>
      <c r="J276" s="24">
        <f>$H$206*$H$205*J24^4/J$188</f>
        <v>2.3205392646724228</v>
      </c>
      <c r="K276" s="32"/>
      <c r="L276" s="32"/>
      <c r="M276" s="32"/>
    </row>
    <row r="277" spans="3:14" s="31" customFormat="1" ht="18" x14ac:dyDescent="0.35">
      <c r="F277" s="25" t="s">
        <v>157</v>
      </c>
      <c r="G277" s="34"/>
      <c r="H277" s="26">
        <f>IF(H276&gt;H24/2,"Senza senso",H276/H24)</f>
        <v>1.5064341962261129E-3</v>
      </c>
      <c r="I277" s="26">
        <f>IF(I276&gt;I24/2,"Senza senso",I276/I24)</f>
        <v>1.4784400233227957E-3</v>
      </c>
      <c r="J277" s="26">
        <f>IF(J276&gt;J24/2,"Senza senso",J276/J24)</f>
        <v>1.5069415317049307E-3</v>
      </c>
      <c r="K277" s="32"/>
      <c r="L277" s="32"/>
      <c r="M277" s="32"/>
    </row>
    <row r="278" spans="3:14" s="31" customFormat="1" ht="18" x14ac:dyDescent="0.35">
      <c r="F278" t="s">
        <v>160</v>
      </c>
      <c r="G278" s="1" t="s">
        <v>6</v>
      </c>
      <c r="H278" s="24">
        <f>$H$206*$H$205*H26^4/H$188</f>
        <v>4.3685180649220356</v>
      </c>
      <c r="I278" s="24">
        <f>$H$206*$H$205*I26^4/I$188</f>
        <v>4.3333068055868633</v>
      </c>
      <c r="J278" s="24">
        <f>$H$206*$H$205*J26^4/J$188</f>
        <v>4.3408745763686367</v>
      </c>
      <c r="K278" s="32"/>
      <c r="L278" s="32"/>
      <c r="M278" s="32"/>
    </row>
    <row r="279" spans="3:14" s="31" customFormat="1" ht="18" x14ac:dyDescent="0.35">
      <c r="F279" s="25" t="s">
        <v>161</v>
      </c>
      <c r="G279" s="34"/>
      <c r="H279" s="26">
        <f>IF(H278&gt;H26/2,"Senza senso",H278/H26)</f>
        <v>2.4215732067195319E-3</v>
      </c>
      <c r="I279" s="26">
        <f>IF(I278&gt;I26/2,"Senza senso",I278/I26)</f>
        <v>2.4073926697704795E-3</v>
      </c>
      <c r="J279" s="26">
        <f>IF(J278&gt;J26/2,"Senza senso",J278/J26)</f>
        <v>2.4103917909759766E-3</v>
      </c>
      <c r="K279" s="32"/>
      <c r="L279" s="32"/>
      <c r="M279" s="32"/>
    </row>
    <row r="280" spans="3:14" s="31" customFormat="1" ht="18" x14ac:dyDescent="0.35">
      <c r="F280" t="s">
        <v>172</v>
      </c>
      <c r="G280" s="1" t="s">
        <v>6</v>
      </c>
      <c r="H280" s="24">
        <f>$H$206*$H$205*H28^4/H$188</f>
        <v>6.6258911300757584</v>
      </c>
      <c r="I280" s="24">
        <f>$H$206*$H$205*I28^4/I$188</f>
        <v>6.7377306920913851</v>
      </c>
      <c r="J280" s="24">
        <f>$H$206*$H$205*J28^4/J$188</f>
        <v>6.7319948554094848</v>
      </c>
      <c r="K280" s="32"/>
      <c r="L280" s="32"/>
      <c r="M280" s="32"/>
    </row>
    <row r="281" spans="3:14" s="31" customFormat="1" ht="18" x14ac:dyDescent="0.35">
      <c r="F281" s="25" t="s">
        <v>173</v>
      </c>
      <c r="G281" s="34"/>
      <c r="H281" s="26">
        <f>IF(H280&gt;H28/2,"Senza senso",H280/H28)</f>
        <v>3.3096359291087704E-3</v>
      </c>
      <c r="I281" s="26">
        <f>IF(I280&gt;I28/2,"Senza senso",I280/I28)</f>
        <v>3.3521048219360126E-3</v>
      </c>
      <c r="J281" s="26">
        <f>IF(J280&gt;J28/2,"Senza senso",J280/J28)</f>
        <v>3.3497511347014403E-3</v>
      </c>
      <c r="K281" s="32"/>
      <c r="L281" s="32"/>
      <c r="M281" s="32"/>
    </row>
    <row r="282" spans="3:14" s="31" customFormat="1" x14ac:dyDescent="0.25">
      <c r="H282" s="32"/>
      <c r="I282" s="32"/>
      <c r="J282" s="33"/>
      <c r="K282" s="32"/>
      <c r="L282" s="32"/>
      <c r="M282" s="32"/>
    </row>
    <row r="283" spans="3:14" s="34" customFormat="1" x14ac:dyDescent="0.25">
      <c r="H283" s="37" t="s">
        <v>105</v>
      </c>
      <c r="I283" s="35"/>
      <c r="K283" s="36"/>
      <c r="L283" s="37" t="s">
        <v>106</v>
      </c>
      <c r="M283" s="35"/>
    </row>
    <row r="284" spans="3:14" x14ac:dyDescent="0.25">
      <c r="C284" s="19" t="s">
        <v>155</v>
      </c>
      <c r="G284" s="38" t="s">
        <v>104</v>
      </c>
      <c r="H284" s="5" t="s">
        <v>2</v>
      </c>
      <c r="I284" s="5" t="s">
        <v>3</v>
      </c>
      <c r="J284" s="5" t="s">
        <v>147</v>
      </c>
      <c r="K284" s="39"/>
      <c r="L284" s="5" t="s">
        <v>2</v>
      </c>
      <c r="M284" s="5" t="s">
        <v>3</v>
      </c>
      <c r="N284" s="5" t="s">
        <v>147</v>
      </c>
    </row>
    <row r="285" spans="3:14" ht="18" x14ac:dyDescent="0.35">
      <c r="C285" s="27" t="s">
        <v>146</v>
      </c>
      <c r="F285" t="s">
        <v>13</v>
      </c>
      <c r="G285" s="1" t="s">
        <v>6</v>
      </c>
      <c r="H285" s="24">
        <v>2.5999999999999999E-2</v>
      </c>
      <c r="I285" s="24">
        <v>3.9E-2</v>
      </c>
      <c r="J285" s="24">
        <v>3.4000000000000002E-2</v>
      </c>
      <c r="K285" s="24"/>
      <c r="L285" s="24">
        <v>2.5999999999999999E-2</v>
      </c>
      <c r="M285" s="24">
        <v>3.9E-2</v>
      </c>
      <c r="N285" s="24">
        <v>3.5000000000000003E-2</v>
      </c>
    </row>
    <row r="286" spans="3:14" ht="18" x14ac:dyDescent="0.35">
      <c r="C286" s="27"/>
      <c r="F286" s="25" t="s">
        <v>134</v>
      </c>
      <c r="G286" s="1"/>
      <c r="H286" s="26">
        <f>IF(H285&gt;H$14/2,"Senza senso",H285/H$14)</f>
        <v>8.4415584415584418E-5</v>
      </c>
      <c r="I286" s="26">
        <f>IF(I285&gt;I$14/2,"Senza senso",I285/I$14)</f>
        <v>1.2999999999999999E-4</v>
      </c>
      <c r="J286" s="26">
        <f>IF(J285&gt;J$14/2,"Senza senso",J285/J$14)</f>
        <v>1.0855683269476374E-4</v>
      </c>
      <c r="K286" s="24"/>
      <c r="L286" s="26">
        <f>IF(L285&gt;H$14/2,"Senza senso",L285/H$14)</f>
        <v>8.4415584415584418E-5</v>
      </c>
      <c r="M286" s="26">
        <f>IF(M285&gt;I$14/2,"Senza senso",M285/I$14)</f>
        <v>1.2999999999999999E-4</v>
      </c>
      <c r="N286" s="26">
        <f>IF(N285&gt;J$14/2,"Senza senso",N285/J$14)</f>
        <v>1.1174968071519797E-4</v>
      </c>
    </row>
    <row r="287" spans="3:14" ht="18" x14ac:dyDescent="0.35">
      <c r="F287" t="s">
        <v>14</v>
      </c>
      <c r="G287" s="1" t="s">
        <v>6</v>
      </c>
      <c r="H287" s="24">
        <v>0.14599999999999999</v>
      </c>
      <c r="I287" s="24">
        <v>0.21299999999999999</v>
      </c>
      <c r="J287" s="24">
        <v>0.17899999999999999</v>
      </c>
      <c r="K287" s="24"/>
      <c r="L287" s="24">
        <v>0.14599999999999999</v>
      </c>
      <c r="M287" s="24">
        <v>0.214</v>
      </c>
      <c r="N287" s="24">
        <v>0.17899999999999999</v>
      </c>
    </row>
    <row r="288" spans="3:14" ht="18" x14ac:dyDescent="0.35">
      <c r="F288" s="25" t="s">
        <v>135</v>
      </c>
      <c r="G288" s="1"/>
      <c r="H288" s="26">
        <f>IF(H287&gt;H$16/2,"Senza senso",H287/H$16)</f>
        <v>2.4579124579124579E-4</v>
      </c>
      <c r="I288" s="26">
        <f>IF(I287&gt;I$16/2,"Senza senso",I287/I$16)</f>
        <v>3.5500000000000001E-4</v>
      </c>
      <c r="J288" s="26">
        <f>IF(J287&gt;J$16/2,"Senza senso",J287/J$16)</f>
        <v>2.9818424121272699E-4</v>
      </c>
      <c r="K288" s="24"/>
      <c r="L288" s="26">
        <f>IF(L287&gt;H$16/2,"Senza senso",L287/H$16)</f>
        <v>2.4579124579124579E-4</v>
      </c>
      <c r="M288" s="26">
        <f>IF(M287&gt;I$16/2,"Senza senso",M287/I$16)</f>
        <v>3.5666666666666664E-4</v>
      </c>
      <c r="N288" s="26">
        <f>IF(N287&gt;J$16/2,"Senza senso",N287/J$16)</f>
        <v>2.9818424121272699E-4</v>
      </c>
    </row>
    <row r="289" spans="6:14" ht="18" x14ac:dyDescent="0.35">
      <c r="F289" t="s">
        <v>15</v>
      </c>
      <c r="G289" s="1" t="s">
        <v>6</v>
      </c>
      <c r="H289" s="24">
        <v>0.374</v>
      </c>
      <c r="I289" s="24">
        <v>0.48699999999999999</v>
      </c>
      <c r="J289" s="24">
        <v>0.42099999999999999</v>
      </c>
      <c r="K289" s="24"/>
      <c r="L289" s="24">
        <v>0.374</v>
      </c>
      <c r="M289" s="24">
        <v>0.48799999999999999</v>
      </c>
      <c r="N289" s="24">
        <v>0.42099999999999999</v>
      </c>
    </row>
    <row r="290" spans="6:14" ht="18" x14ac:dyDescent="0.35">
      <c r="F290" s="25" t="s">
        <v>136</v>
      </c>
      <c r="G290" s="1"/>
      <c r="H290" s="26">
        <f>IF(H289&gt;H$18/2,"Senza senso",H289/H$18)</f>
        <v>4.5945945945945947E-4</v>
      </c>
      <c r="I290" s="26">
        <f>IF(I289&gt;I$18/2,"Senza senso",I289/I$18)</f>
        <v>6.0123456790123458E-4</v>
      </c>
      <c r="J290" s="26">
        <f>IF(J289&gt;J$18/2,"Senza senso",J289/J$18)</f>
        <v>5.2033123223334569E-4</v>
      </c>
      <c r="K290" s="24"/>
      <c r="L290" s="26">
        <f>IF(L289&gt;H$18/2,"Senza senso",L289/H$18)</f>
        <v>4.5945945945945947E-4</v>
      </c>
      <c r="M290" s="26">
        <f>IF(M289&gt;I$18/2,"Senza senso",M289/I$18)</f>
        <v>6.024691358024691E-4</v>
      </c>
      <c r="N290" s="26">
        <f>IF(N289&gt;J$18/2,"Senza senso",N289/J$18)</f>
        <v>5.2033123223334569E-4</v>
      </c>
    </row>
    <row r="291" spans="6:14" ht="18" x14ac:dyDescent="0.35">
      <c r="F291" t="s">
        <v>16</v>
      </c>
      <c r="G291" s="1" t="s">
        <v>6</v>
      </c>
      <c r="H291" s="24">
        <v>0.70199999999999996</v>
      </c>
      <c r="I291" s="24">
        <v>0.88300000000000001</v>
      </c>
      <c r="J291" s="24">
        <v>0.78900000000000003</v>
      </c>
      <c r="K291" s="24"/>
      <c r="L291" s="24">
        <v>0.70199999999999996</v>
      </c>
      <c r="M291" s="24">
        <v>0.88300000000000001</v>
      </c>
      <c r="N291" s="24">
        <v>0.78900000000000003</v>
      </c>
    </row>
    <row r="292" spans="6:14" ht="18" x14ac:dyDescent="0.35">
      <c r="F292" s="25" t="s">
        <v>137</v>
      </c>
      <c r="H292" s="26">
        <f>IF(H291&gt;H20/2,"Senza senso",H291/H20)</f>
        <v>7.09090909090909E-4</v>
      </c>
      <c r="I292" s="26">
        <f>IF(I291&gt;I$20/2,"Senza senso",I291/I$20)</f>
        <v>8.9191919191919193E-4</v>
      </c>
      <c r="J292" s="26">
        <f>IF(J291&gt;J$20/2,"Senza senso",J291/J$20)</f>
        <v>7.9552329098608594E-4</v>
      </c>
      <c r="K292" s="24"/>
      <c r="L292" s="26">
        <f>IF(L291&gt;H20/2,"Senza senso",L291/H20)</f>
        <v>7.09090909090909E-4</v>
      </c>
      <c r="M292" s="26">
        <f>IF(M291&gt;I$20/2,"Senza senso",M291/I$20)</f>
        <v>8.9191919191919193E-4</v>
      </c>
      <c r="N292" s="26">
        <f>IF(N291&gt;J$20/2,"Senza senso",N291/J$20)</f>
        <v>7.9552329098608594E-4</v>
      </c>
    </row>
    <row r="293" spans="6:14" s="34" customFormat="1" ht="18" x14ac:dyDescent="0.35">
      <c r="F293" t="s">
        <v>158</v>
      </c>
      <c r="G293" s="1" t="s">
        <v>6</v>
      </c>
      <c r="H293" s="24">
        <v>1.4810000000000001</v>
      </c>
      <c r="I293" s="24">
        <v>1.7509999999999999</v>
      </c>
      <c r="J293" s="24">
        <v>1.583</v>
      </c>
      <c r="K293" s="35"/>
      <c r="L293" s="24">
        <v>1.482</v>
      </c>
      <c r="M293" s="24">
        <v>1.7509999999999999</v>
      </c>
      <c r="N293" s="24">
        <v>1.583</v>
      </c>
    </row>
    <row r="294" spans="6:14" s="34" customFormat="1" ht="18" x14ac:dyDescent="0.35">
      <c r="F294" s="25" t="s">
        <v>156</v>
      </c>
      <c r="H294" s="26">
        <f>IF(H293&gt;H22/2,"Senza senso",H293/H22)</f>
        <v>1.2021103896103897E-3</v>
      </c>
      <c r="I294" s="26">
        <f>IF(I293&gt;I22/2,"Senza senso",I293/I22)</f>
        <v>1.4235772357723577E-3</v>
      </c>
      <c r="J294" s="26">
        <f>IF(J293&gt;J22/2,"Senza senso",J293/J22)</f>
        <v>1.2904540637482676E-3</v>
      </c>
      <c r="K294" s="35"/>
      <c r="L294" s="26">
        <f>IF(L293&gt;H22/2,"Senza senso",L293/H22)</f>
        <v>1.202922077922078E-3</v>
      </c>
      <c r="M294" s="26">
        <f>IF(M293&gt;I22/2,"Senza senso",M293/I22)</f>
        <v>1.4235772357723577E-3</v>
      </c>
      <c r="N294" s="26">
        <f>IF(N293&gt;J22/2,"Senza senso",N293/J22)</f>
        <v>1.2904540637482676E-3</v>
      </c>
    </row>
    <row r="295" spans="6:14" s="34" customFormat="1" ht="18" x14ac:dyDescent="0.35">
      <c r="F295" t="s">
        <v>159</v>
      </c>
      <c r="G295" s="1" t="s">
        <v>6</v>
      </c>
      <c r="H295" s="24">
        <v>3.274</v>
      </c>
      <c r="I295" s="24">
        <v>3.6459999999999999</v>
      </c>
      <c r="J295" s="24">
        <v>3.48</v>
      </c>
      <c r="K295" s="35"/>
      <c r="L295" s="24">
        <v>3.274</v>
      </c>
      <c r="M295" s="24">
        <v>3.6469999999999998</v>
      </c>
      <c r="N295" s="24">
        <v>3.4809999999999999</v>
      </c>
    </row>
    <row r="296" spans="6:14" s="34" customFormat="1" ht="18" x14ac:dyDescent="0.35">
      <c r="F296" s="25" t="s">
        <v>157</v>
      </c>
      <c r="H296" s="26">
        <f>IF(H295&gt;H24/2,"Senza senso",H295/H24)</f>
        <v>2.125974025974026E-3</v>
      </c>
      <c r="I296" s="26">
        <f>IF(I295&gt;I24/2,"Senza senso",I295/I24)</f>
        <v>2.3830065359477124E-3</v>
      </c>
      <c r="J296" s="26">
        <f>IF(J295&gt;J24/2,"Senza senso",J295/J24)</f>
        <v>2.2598870056497172E-3</v>
      </c>
      <c r="K296" s="35"/>
      <c r="L296" s="26">
        <f>IF(L295&gt;H24/2,"Senza senso",L295/H24)</f>
        <v>2.125974025974026E-3</v>
      </c>
      <c r="M296" s="26">
        <f>IF(M295&gt;I24/2,"Senza senso",M295/I24)</f>
        <v>2.383660130718954E-3</v>
      </c>
      <c r="N296" s="26">
        <f>IF(N295&gt;J24/2,"Senza senso",N295/J24)</f>
        <v>2.2605363984674327E-3</v>
      </c>
    </row>
    <row r="297" spans="6:14" s="36" customFormat="1" ht="18" x14ac:dyDescent="0.35">
      <c r="F297" s="24" t="s">
        <v>160</v>
      </c>
      <c r="G297" s="25" t="s">
        <v>6</v>
      </c>
      <c r="H297" s="36">
        <v>5.8520000000000003</v>
      </c>
      <c r="I297" s="36">
        <v>6.4269999999999996</v>
      </c>
      <c r="J297" s="36">
        <v>6.0979999999999999</v>
      </c>
      <c r="L297" s="36">
        <v>5.8520000000000003</v>
      </c>
      <c r="M297" s="36">
        <v>6.4269999999999996</v>
      </c>
      <c r="N297" s="36">
        <v>6.0979999999999999</v>
      </c>
    </row>
    <row r="298" spans="6:14" s="34" customFormat="1" ht="18" x14ac:dyDescent="0.35">
      <c r="F298" s="25" t="s">
        <v>161</v>
      </c>
      <c r="H298" s="26">
        <f>IF(H297&gt;H26/2,"Senza senso",H297/H26)</f>
        <v>3.2439024390243905E-3</v>
      </c>
      <c r="I298" s="26">
        <f>IF(I297&gt;I26/2,"Senza senso",I297/I26)</f>
        <v>3.5705555555555555E-3</v>
      </c>
      <c r="J298" s="26">
        <f>IF(J297&gt;J26/2,"Senza senso",J297/J26)</f>
        <v>3.3860847354100724E-3</v>
      </c>
      <c r="K298" s="35"/>
      <c r="L298" s="26">
        <f>IF(L297&gt;H26/2,"Senza senso",L297/H26)</f>
        <v>3.2439024390243905E-3</v>
      </c>
      <c r="M298" s="26">
        <f>IF(M297&gt;I26/2,"Senza senso",M297/I26)</f>
        <v>3.5705555555555555E-3</v>
      </c>
      <c r="N298" s="26">
        <f>IF(N297&gt;J26/2,"Senza senso",N297/J26)</f>
        <v>3.3860847354100724E-3</v>
      </c>
    </row>
    <row r="299" spans="6:14" s="34" customFormat="1" ht="18" x14ac:dyDescent="0.35">
      <c r="F299" t="s">
        <v>172</v>
      </c>
      <c r="G299" s="1" t="s">
        <v>6</v>
      </c>
      <c r="H299" s="46">
        <v>8.6329999999999991</v>
      </c>
      <c r="I299" s="46">
        <v>9.5419999999999998</v>
      </c>
      <c r="J299" s="36">
        <v>9.1129999999999995</v>
      </c>
      <c r="K299" s="46"/>
      <c r="L299" s="46">
        <v>8.6329999999999991</v>
      </c>
      <c r="M299" s="46">
        <v>9.5429999999999993</v>
      </c>
      <c r="N299" s="36">
        <v>9.1129999999999995</v>
      </c>
    </row>
    <row r="300" spans="6:14" s="34" customFormat="1" ht="18" x14ac:dyDescent="0.35">
      <c r="F300" s="25" t="s">
        <v>173</v>
      </c>
      <c r="H300" s="26">
        <f>IF(H299&gt;H28/2,"Senza senso",H299/H28)</f>
        <v>4.3121878121878121E-3</v>
      </c>
      <c r="I300" s="26">
        <f>IF(I299&gt;I28/2,"Senza senso",I299/I28)</f>
        <v>4.7472636815920396E-3</v>
      </c>
      <c r="J300" s="26">
        <f>IF(J299&gt;J28/2,"Senza senso",J299/J28)</f>
        <v>4.5345076379559139E-3</v>
      </c>
      <c r="K300" s="35"/>
      <c r="L300" s="26">
        <f>IF(L299&gt;H28/2,"Senza senso",L299/H28)</f>
        <v>4.3121878121878121E-3</v>
      </c>
      <c r="M300" s="26">
        <f>IF(M299&gt;I28/2,"Senza senso",M299/I28)</f>
        <v>4.74776119402985E-3</v>
      </c>
      <c r="N300" s="26">
        <f>IF(N299&gt;J28/2,"Senza senso",N299/J28)</f>
        <v>4.5345076379559139E-3</v>
      </c>
    </row>
    <row r="301" spans="6:14" s="34" customFormat="1" x14ac:dyDescent="0.25">
      <c r="H301" s="35"/>
      <c r="I301" s="35"/>
      <c r="J301" s="36"/>
      <c r="K301" s="35"/>
      <c r="L301" s="35"/>
      <c r="M301" s="35"/>
    </row>
    <row r="302" spans="6:14" x14ac:dyDescent="0.25">
      <c r="F302" s="20" t="s">
        <v>96</v>
      </c>
      <c r="G302" s="1"/>
      <c r="H302" s="5" t="s">
        <v>2</v>
      </c>
      <c r="I302" s="5" t="s">
        <v>3</v>
      </c>
      <c r="J302" s="5" t="s">
        <v>147</v>
      </c>
      <c r="M302" s="5"/>
    </row>
    <row r="303" spans="6:14" ht="18" x14ac:dyDescent="0.35">
      <c r="F303" t="s">
        <v>13</v>
      </c>
      <c r="G303" s="1" t="s">
        <v>6</v>
      </c>
      <c r="H303" s="24">
        <f>$H$206*$H$205*H$14^4/H$189</f>
        <v>3.3081032472728113E-3</v>
      </c>
      <c r="I303" s="24">
        <f>$H$206*$H$205*I$14^4/I$189</f>
        <v>3.2218145814837135E-3</v>
      </c>
      <c r="J303" s="24">
        <f>$H$206*$H$205*J$14^4/J$189</f>
        <v>3.7283639312868356E-3</v>
      </c>
      <c r="M303" s="24"/>
    </row>
    <row r="304" spans="6:14" ht="18" x14ac:dyDescent="0.35">
      <c r="F304" s="25" t="s">
        <v>134</v>
      </c>
      <c r="G304" s="1"/>
      <c r="H304" s="26">
        <f>IF(H303&gt;H$14/2,"Senza senso",H303/H$14)</f>
        <v>1.0740594958677958E-5</v>
      </c>
      <c r="I304" s="26">
        <f>IF(I303&gt;I$14/2,"Senza senso",I303/I$14)</f>
        <v>1.0739381938279045E-5</v>
      </c>
      <c r="J304" s="26">
        <f>IF(J303&gt;J$14/2,"Senza senso",J303/J$14)</f>
        <v>1.1904099397467546E-5</v>
      </c>
      <c r="M304" s="26"/>
    </row>
    <row r="305" spans="6:14" ht="18" x14ac:dyDescent="0.35">
      <c r="F305" t="s">
        <v>14</v>
      </c>
      <c r="G305" s="1" t="s">
        <v>6</v>
      </c>
      <c r="H305" s="24">
        <f>$H$206*$H$205*H$16^4/H$189</f>
        <v>4.5763788469229232E-2</v>
      </c>
      <c r="I305" s="24">
        <f>$H$206*$H$205*I$16^4/I$189</f>
        <v>5.1549033303739417E-2</v>
      </c>
      <c r="J305" s="24">
        <f>$H$206*$H$205*J$16^4/J$189</f>
        <v>5.0315831929747271E-2</v>
      </c>
      <c r="M305" s="24"/>
    </row>
    <row r="306" spans="6:14" ht="18" x14ac:dyDescent="0.35">
      <c r="F306" s="25" t="s">
        <v>135</v>
      </c>
      <c r="G306" s="1"/>
      <c r="H306" s="26">
        <f>IF(H305&gt;H$16/2,"Senza senso",H305/H$16)</f>
        <v>7.7043414931362341E-5</v>
      </c>
      <c r="I306" s="26">
        <f>IF(I305&gt;I$16/2,"Senza senso",I305/I$16)</f>
        <v>8.5915055506232362E-5</v>
      </c>
      <c r="J306" s="26">
        <f>IF(J305&gt;J$16/2,"Senza senso",J305/J$16)</f>
        <v>8.3817810977423413E-5</v>
      </c>
      <c r="M306" s="26"/>
    </row>
    <row r="307" spans="6:14" ht="18" x14ac:dyDescent="0.35">
      <c r="F307" t="s">
        <v>15</v>
      </c>
      <c r="G307" s="1" t="s">
        <v>6</v>
      </c>
      <c r="H307" s="24">
        <f>$H$206*$H$205*H$18^4/H$189</f>
        <v>0.16138895486287119</v>
      </c>
      <c r="I307" s="24">
        <f>$H$206*$H$205*I$18^4/I$189</f>
        <v>0.17122043629982864</v>
      </c>
      <c r="J307" s="24">
        <f>$H$206*$H$205*J$18^4/J$189</f>
        <v>0.16605046229677617</v>
      </c>
      <c r="M307" s="24"/>
    </row>
    <row r="308" spans="6:14" ht="18" x14ac:dyDescent="0.35">
      <c r="F308" s="25" t="s">
        <v>136</v>
      </c>
      <c r="G308" s="1"/>
      <c r="H308" s="26">
        <f>IF(H307&gt;H$18/2,"Senza senso",H307/H$18)</f>
        <v>1.9826652931556659E-4</v>
      </c>
      <c r="I308" s="26">
        <f>IF(I307&gt;I$18/2,"Senza senso",I307/I$18)</f>
        <v>2.1138325469114647E-4</v>
      </c>
      <c r="J308" s="26">
        <f>IF(J307&gt;J$18/2,"Senza senso",J307/J$18)</f>
        <v>2.0522860251733551E-4</v>
      </c>
      <c r="M308" s="26"/>
    </row>
    <row r="309" spans="6:14" ht="18" x14ac:dyDescent="0.35">
      <c r="F309" t="s">
        <v>16</v>
      </c>
      <c r="G309" s="1" t="s">
        <v>6</v>
      </c>
      <c r="H309" s="24">
        <f>$H$206*$H$205*H20^4/H$189</f>
        <v>0.35311565176874404</v>
      </c>
      <c r="I309" s="24">
        <f>$H$206*$H$205*I$20^4/I$189</f>
        <v>0.38208175702877473</v>
      </c>
      <c r="J309" s="24">
        <f>$H$206*$H$205*J$20^4/J$189</f>
        <v>0.37491058324786392</v>
      </c>
      <c r="M309" s="24"/>
    </row>
    <row r="310" spans="6:14" ht="18" x14ac:dyDescent="0.35">
      <c r="F310" s="25" t="s">
        <v>137</v>
      </c>
      <c r="H310" s="26">
        <f>IF(H309&gt;H20/2,"Senza senso",H309/H20)</f>
        <v>3.5668247653408491E-4</v>
      </c>
      <c r="I310" s="26">
        <f>IF(I309&gt;I$20/2,"Senza senso",I309/I$20)</f>
        <v>3.8594116871593407E-4</v>
      </c>
      <c r="J310" s="26">
        <f>IF(J309&gt;J$20/2,"Senza senso",J309/J$20)</f>
        <v>3.7801026744087914E-4</v>
      </c>
      <c r="M310" s="26"/>
    </row>
    <row r="311" spans="6:14" s="34" customFormat="1" ht="18" x14ac:dyDescent="0.35">
      <c r="F311" t="s">
        <v>158</v>
      </c>
      <c r="G311" s="1" t="s">
        <v>6</v>
      </c>
      <c r="H311" s="24">
        <f>$H$206*$H$205*H22^4/H$189</f>
        <v>0.8468744313018397</v>
      </c>
      <c r="I311" s="24">
        <f>$H$206*$H$205*I22^4/I$189</f>
        <v>0.91040779935880001</v>
      </c>
      <c r="J311" s="24">
        <f>$H$206*$H$205*J22^4/J$189</f>
        <v>0.87737396974275106</v>
      </c>
      <c r="M311" s="35"/>
      <c r="N311" s="35"/>
    </row>
    <row r="312" spans="6:14" s="34" customFormat="1" ht="18" x14ac:dyDescent="0.35">
      <c r="F312" s="25" t="s">
        <v>156</v>
      </c>
      <c r="H312" s="26">
        <f>IF(H311&gt;H22/2,"Senza senso",H311/H22)</f>
        <v>6.8739807735538933E-4</v>
      </c>
      <c r="I312" s="26">
        <f>IF(I311&gt;I22/2,"Senza senso",I311/I22)</f>
        <v>7.4016894256813013E-4</v>
      </c>
      <c r="J312" s="26">
        <f>IF(J311&gt;J22/2,"Senza senso",J311/J22)</f>
        <v>7.1523108318476483E-4</v>
      </c>
      <c r="M312" s="35"/>
      <c r="N312" s="35"/>
    </row>
    <row r="313" spans="6:14" s="34" customFormat="1" ht="18" x14ac:dyDescent="0.35">
      <c r="F313" t="s">
        <v>159</v>
      </c>
      <c r="G313" s="1" t="s">
        <v>6</v>
      </c>
      <c r="H313" s="24">
        <f>$H$206*$H$205*H24^4/H$189</f>
        <v>2.067564529545507</v>
      </c>
      <c r="I313" s="24">
        <f>$H$206*$H$205*I24^4/I$189</f>
        <v>2.1796223228468201</v>
      </c>
      <c r="J313" s="24">
        <f>$H$206*$H$205*J24^4/J$189</f>
        <v>2.1787196997869307</v>
      </c>
      <c r="M313" s="35"/>
      <c r="N313" s="35"/>
    </row>
    <row r="314" spans="6:14" s="34" customFormat="1" ht="18" x14ac:dyDescent="0.35">
      <c r="F314" s="25" t="s">
        <v>157</v>
      </c>
      <c r="H314" s="26">
        <f>IF(H313&gt;H24/2,"Senza senso",H313/H24)</f>
        <v>1.3425743698347449E-3</v>
      </c>
      <c r="I314" s="26">
        <f>IF(I313&gt;I24/2,"Senza senso",I313/I24)</f>
        <v>1.4245897534946536E-3</v>
      </c>
      <c r="J314" s="26">
        <f>IF(J313&gt;J24/2,"Senza senso",J313/J24)</f>
        <v>1.4148449248567638E-3</v>
      </c>
      <c r="M314" s="35"/>
      <c r="N314" s="35"/>
    </row>
    <row r="315" spans="6:14" s="34" customFormat="1" ht="18" x14ac:dyDescent="0.35">
      <c r="F315" t="s">
        <v>160</v>
      </c>
      <c r="G315" s="1" t="s">
        <v>6</v>
      </c>
      <c r="H315" s="24">
        <f>$H$206*$H$205*H26^4/H$189</f>
        <v>3.893339916750048</v>
      </c>
      <c r="I315" s="24">
        <f>$H$206*$H$205*I26^4/I$189</f>
        <v>4.1754716976028927</v>
      </c>
      <c r="J315" s="24">
        <f>$H$206*$H$205*J26^4/J$189</f>
        <v>4.0755823863095308</v>
      </c>
      <c r="M315" s="35"/>
      <c r="N315" s="35"/>
    </row>
    <row r="316" spans="6:14" s="34" customFormat="1" ht="18" x14ac:dyDescent="0.35">
      <c r="F316" s="25" t="s">
        <v>161</v>
      </c>
      <c r="H316" s="26">
        <f>IF(H315&gt;H26/2,"Senza senso",H315/H26)</f>
        <v>2.1581706855598936E-3</v>
      </c>
      <c r="I316" s="26">
        <f>IF(I315&gt;I26/2,"Senza senso",I315/I26)</f>
        <v>2.3197064986682737E-3</v>
      </c>
      <c r="J316" s="26">
        <f>IF(J315&gt;J26/2,"Senza senso",J315/J26)</f>
        <v>2.263080896390433E-3</v>
      </c>
      <c r="M316" s="35"/>
      <c r="N316" s="35"/>
    </row>
    <row r="317" spans="6:14" s="34" customFormat="1" ht="18" x14ac:dyDescent="0.35">
      <c r="F317" t="s">
        <v>172</v>
      </c>
      <c r="G317" s="1" t="s">
        <v>6</v>
      </c>
      <c r="H317" s="24">
        <f>$H$206*$H$205*H28^4/H$189</f>
        <v>5.9051710528349224</v>
      </c>
      <c r="I317" s="24">
        <f>$H$206*$H$205*I28^4/I$189</f>
        <v>6.4923175471042667</v>
      </c>
      <c r="J317" s="24">
        <f>$H$206*$H$205*J28^4/J$189</f>
        <v>6.3205695476199528</v>
      </c>
      <c r="M317" s="35"/>
      <c r="N317" s="35"/>
    </row>
    <row r="318" spans="6:14" s="34" customFormat="1" ht="18" x14ac:dyDescent="0.35">
      <c r="F318" s="25" t="s">
        <v>173</v>
      </c>
      <c r="H318" s="26">
        <f>IF(H317&gt;H28/2,"Senza senso",H317/H28)</f>
        <v>2.9496358905269342E-3</v>
      </c>
      <c r="I318" s="26">
        <f>IF(I317&gt;I28/2,"Senza senso",I317/I28)</f>
        <v>3.23000872990262E-3</v>
      </c>
      <c r="J318" s="26">
        <f>IF(J317&gt;J28/2,"Senza senso",J317/J28)</f>
        <v>3.1450313716574379E-3</v>
      </c>
      <c r="M318" s="35"/>
      <c r="N318" s="35"/>
    </row>
    <row r="319" spans="6:14" s="34" customFormat="1" x14ac:dyDescent="0.25">
      <c r="H319" s="35"/>
      <c r="I319" s="35"/>
      <c r="J319" s="36"/>
      <c r="M319" s="35"/>
      <c r="N319" s="35"/>
    </row>
    <row r="320" spans="6:14" ht="18" x14ac:dyDescent="0.35">
      <c r="G320" s="24"/>
      <c r="H320" s="10" t="s">
        <v>97</v>
      </c>
      <c r="I320" s="28" t="s">
        <v>92</v>
      </c>
      <c r="J320" s="24"/>
    </row>
    <row r="321" spans="6:13" x14ac:dyDescent="0.25">
      <c r="F321" s="20" t="s">
        <v>95</v>
      </c>
      <c r="G321" s="1"/>
      <c r="H321" s="5" t="s">
        <v>2</v>
      </c>
      <c r="I321" s="5" t="s">
        <v>3</v>
      </c>
      <c r="J321" s="5" t="s">
        <v>147</v>
      </c>
      <c r="M321" s="5"/>
    </row>
    <row r="322" spans="6:13" ht="18" x14ac:dyDescent="0.35">
      <c r="F322" t="s">
        <v>13</v>
      </c>
      <c r="G322" s="1" t="s">
        <v>6</v>
      </c>
      <c r="H322" s="24">
        <f>$H$206*$H$205*H$14^4/H$191</f>
        <v>3.7103291027728584E-3</v>
      </c>
      <c r="I322" s="24">
        <f>$H$206*$H$205*I$14^4/I$191</f>
        <v>3.3431754188173613E-3</v>
      </c>
      <c r="J322" s="24">
        <f>$H$206*$H$205*J$14^4/J$191</f>
        <v>3.9701844437135371E-3</v>
      </c>
      <c r="M322" s="24"/>
    </row>
    <row r="323" spans="6:13" ht="18" x14ac:dyDescent="0.35">
      <c r="F323" s="25" t="s">
        <v>134</v>
      </c>
      <c r="G323" s="1"/>
      <c r="H323" s="26">
        <f>IF(H322&gt;H$14/2,"Senza senso",H322/H$14)</f>
        <v>1.2046523060950839E-5</v>
      </c>
      <c r="I323" s="26">
        <f>IF(I322&gt;I$14/2,"Senza senso",I322/I$14)</f>
        <v>1.1143918062724537E-5</v>
      </c>
      <c r="J323" s="26">
        <f>IF(J322&gt;J$14/2,"Senza senso",J322/J$14)</f>
        <v>1.2676195541869532E-5</v>
      </c>
      <c r="M323" s="26"/>
    </row>
    <row r="324" spans="6:13" ht="18" x14ac:dyDescent="0.35">
      <c r="F324" t="s">
        <v>14</v>
      </c>
      <c r="G324" s="1" t="s">
        <v>6</v>
      </c>
      <c r="H324" s="24">
        <f>$H$206*$H$205*H$16^4/H$191</f>
        <v>5.13281187189377E-2</v>
      </c>
      <c r="I324" s="24">
        <f>$H$206*$H$205*I$16^4/I$191</f>
        <v>5.3490806701077781E-2</v>
      </c>
      <c r="J324" s="24">
        <f>$H$206*$H$205*J$16^4/J$191</f>
        <v>5.3579300969967207E-2</v>
      </c>
      <c r="M324" s="24"/>
    </row>
    <row r="325" spans="6:13" ht="18" x14ac:dyDescent="0.35">
      <c r="F325" s="25" t="s">
        <v>135</v>
      </c>
      <c r="G325" s="1"/>
      <c r="H325" s="26">
        <f>IF(H324&gt;H$16/2,"Senza senso",H324/H$16)</f>
        <v>8.6410974274305893E-5</v>
      </c>
      <c r="I325" s="26">
        <f>IF(I324&gt;I$16/2,"Senza senso",I324/I$16)</f>
        <v>8.9151344501796299E-5</v>
      </c>
      <c r="J325" s="26">
        <f>IF(J324&gt;J$16/2,"Senza senso",J324/J$16)</f>
        <v>8.9254207846022345E-5</v>
      </c>
      <c r="M325" s="26"/>
    </row>
    <row r="326" spans="6:13" ht="18" x14ac:dyDescent="0.35">
      <c r="F326" t="s">
        <v>15</v>
      </c>
      <c r="G326" s="1" t="s">
        <v>6</v>
      </c>
      <c r="H326" s="24">
        <f>$H$206*$H$205*H$18^4/H$191</f>
        <v>0.18101192476004485</v>
      </c>
      <c r="I326" s="24">
        <f>$H$206*$H$205*I$18^4/I$191</f>
        <v>0.17767004877517173</v>
      </c>
      <c r="J326" s="24">
        <f>$H$206*$H$205*J$18^4/J$191</f>
        <v>0.17682044307690831</v>
      </c>
      <c r="M326" s="24"/>
    </row>
    <row r="327" spans="6:13" ht="18" x14ac:dyDescent="0.35">
      <c r="F327" s="25" t="s">
        <v>136</v>
      </c>
      <c r="G327" s="1"/>
      <c r="H327" s="26">
        <f>IF(H326&gt;H$18/2,"Senza senso",H326/H$18)</f>
        <v>2.2237337194108705E-4</v>
      </c>
      <c r="I327" s="26">
        <f>IF(I326&gt;I$18/2,"Senza senso",I326/I$18)</f>
        <v>2.1934573922860706E-4</v>
      </c>
      <c r="J327" s="26">
        <f>IF(J326&gt;J$18/2,"Senza senso",J326/J$18)</f>
        <v>2.1853966515499729E-4</v>
      </c>
      <c r="M327" s="26"/>
    </row>
    <row r="328" spans="6:13" ht="18" x14ac:dyDescent="0.35">
      <c r="F328" t="s">
        <v>16</v>
      </c>
      <c r="G328" s="1" t="s">
        <v>6</v>
      </c>
      <c r="H328" s="24">
        <f>$H$206*$H$205*H20^4/H$191</f>
        <v>0.39605029875723535</v>
      </c>
      <c r="I328" s="24">
        <f>$H$206*$H$205*I$20^4/I$191</f>
        <v>0.39647419358593039</v>
      </c>
      <c r="J328" s="24">
        <f>$H$206*$H$205*J$20^4/J$191</f>
        <v>0.39922716580956158</v>
      </c>
      <c r="M328" s="24"/>
    </row>
    <row r="329" spans="6:13" ht="18" x14ac:dyDescent="0.35">
      <c r="F329" s="25" t="s">
        <v>137</v>
      </c>
      <c r="H329" s="26">
        <f>IF(H328&gt;H20/2,"Senza senso",H328/H20)</f>
        <v>4.0005080682549025E-4</v>
      </c>
      <c r="I329" s="26">
        <f>IF(I328&gt;I$20/2,"Senza senso",I328/I$20)</f>
        <v>4.0047898342013169E-4</v>
      </c>
      <c r="J329" s="26">
        <f>IF(J328&gt;J$20/2,"Senza senso",J328/J$20)</f>
        <v>4.0252789454482918E-4</v>
      </c>
      <c r="M329" s="26"/>
    </row>
    <row r="330" spans="6:13" ht="18" x14ac:dyDescent="0.35">
      <c r="F330" t="s">
        <v>158</v>
      </c>
      <c r="G330" s="1" t="s">
        <v>6</v>
      </c>
      <c r="H330" s="24">
        <f>$H$206*$H$205*H22^4/H$191</f>
        <v>0.94984425030985176</v>
      </c>
      <c r="I330" s="24">
        <f>$H$206*$H$205*I22^4/I$191</f>
        <v>0.94470147146527661</v>
      </c>
      <c r="J330" s="24">
        <f>$H$206*$H$205*J22^4/J$191</f>
        <v>0.93428016958355153</v>
      </c>
      <c r="K330" s="26"/>
    </row>
    <row r="331" spans="6:13" ht="18" x14ac:dyDescent="0.35">
      <c r="F331" s="25" t="s">
        <v>156</v>
      </c>
      <c r="G331" s="34"/>
      <c r="H331" s="26">
        <f>IF(H330&gt;H22/2,"Senza senso",H330/H22)</f>
        <v>7.7097747590085372E-4</v>
      </c>
      <c r="I331" s="26">
        <f>IF(I330&gt;I22/2,"Senza senso",I330/I22)</f>
        <v>7.6804997680103787E-4</v>
      </c>
      <c r="J331" s="26">
        <f>IF(J330&gt;J22/2,"Senza senso",J330/J22)</f>
        <v>7.6162074637935227E-4</v>
      </c>
      <c r="K331" s="26"/>
    </row>
    <row r="332" spans="6:13" ht="18" x14ac:dyDescent="0.35">
      <c r="F332" t="s">
        <v>159</v>
      </c>
      <c r="G332" s="1" t="s">
        <v>6</v>
      </c>
      <c r="H332" s="24">
        <f>$H$206*$H$205*H24^4/H$191</f>
        <v>2.3189556892330363</v>
      </c>
      <c r="I332" s="24">
        <f>$H$206*$H$205*I24^4/I$191</f>
        <v>2.2617253686558634</v>
      </c>
      <c r="J332" s="24">
        <f>$H$206*$H$205*J24^4/J$191</f>
        <v>2.3200307745496298</v>
      </c>
      <c r="K332" s="26"/>
    </row>
    <row r="333" spans="6:13" ht="18" x14ac:dyDescent="0.35">
      <c r="F333" s="25" t="s">
        <v>157</v>
      </c>
      <c r="G333" s="34"/>
      <c r="H333" s="26">
        <f>IF(H332&gt;H24/2,"Senza senso",H332/H24)</f>
        <v>1.5058153826188548E-3</v>
      </c>
      <c r="I333" s="26">
        <f>IF(I332&gt;I24/2,"Senza senso",I332/I24)</f>
        <v>1.4782518749384729E-3</v>
      </c>
      <c r="J333" s="26">
        <f>IF(J332&gt;J24/2,"Senza senso",J332/J24)</f>
        <v>1.5066113218713097E-3</v>
      </c>
      <c r="K333" s="26"/>
    </row>
    <row r="334" spans="6:13" ht="18" x14ac:dyDescent="0.35">
      <c r="F334" t="s">
        <v>160</v>
      </c>
      <c r="G334" s="1" t="s">
        <v>6</v>
      </c>
      <c r="H334" s="24">
        <f>$H$206*$H$205*H26^4/H$191</f>
        <v>4.366723563423796</v>
      </c>
      <c r="I334" s="24">
        <f>$H$206*$H$205*I26^4/I$191</f>
        <v>4.3327553427873005</v>
      </c>
      <c r="J334" s="24">
        <f>$H$206*$H$205*J26^4/J$191</f>
        <v>4.3399233785673452</v>
      </c>
      <c r="K334" s="26"/>
    </row>
    <row r="335" spans="6:13" ht="18" x14ac:dyDescent="0.35">
      <c r="F335" s="25" t="s">
        <v>161</v>
      </c>
      <c r="G335" s="34"/>
      <c r="H335" s="26">
        <f>IF(H334&gt;H26/2,"Senza senso",H334/H26)</f>
        <v>2.4205784719644103E-3</v>
      </c>
      <c r="I335" s="26">
        <f>IF(I334&gt;I26/2,"Senza senso",I334/I26)</f>
        <v>2.4070863015485003E-3</v>
      </c>
      <c r="J335" s="26">
        <f>IF(J334&gt;J26/2,"Senza senso",J334/J26)</f>
        <v>2.4098636118426039E-3</v>
      </c>
      <c r="K335" s="26"/>
    </row>
    <row r="336" spans="6:13" ht="18" x14ac:dyDescent="0.35">
      <c r="F336" t="s">
        <v>172</v>
      </c>
      <c r="G336" s="1" t="s">
        <v>6</v>
      </c>
      <c r="H336" s="24">
        <f>$H$206*$H$205*H28^4/H$191</f>
        <v>6.6231693440184758</v>
      </c>
      <c r="I336" s="24">
        <f>$H$206*$H$205*I28^4/I$191</f>
        <v>6.7368732388814321</v>
      </c>
      <c r="J336" s="24">
        <f>$H$206*$H$205*J28^4/J$191</f>
        <v>6.7305197013611204</v>
      </c>
      <c r="K336" s="26"/>
    </row>
    <row r="337" spans="6:14" ht="18" x14ac:dyDescent="0.35">
      <c r="F337" s="25" t="s">
        <v>173</v>
      </c>
      <c r="G337" s="34"/>
      <c r="H337" s="26">
        <f>IF(H336&gt;H28/2,"Senza senso",H336/H28)</f>
        <v>3.3082763956136241E-3</v>
      </c>
      <c r="I337" s="26">
        <f>IF(I336&gt;I28/2,"Senza senso",I336/I28)</f>
        <v>3.3516782282992201E-3</v>
      </c>
      <c r="J337" s="26">
        <f>IF(J336&gt;J28/2,"Senza senso",J336/J28)</f>
        <v>3.3490171176599097E-3</v>
      </c>
      <c r="K337" s="26"/>
    </row>
    <row r="338" spans="6:14" x14ac:dyDescent="0.25">
      <c r="H338" s="26"/>
      <c r="I338" s="24"/>
      <c r="J338" s="24"/>
      <c r="K338" s="26"/>
    </row>
    <row r="339" spans="6:14" x14ac:dyDescent="0.25">
      <c r="G339" s="34"/>
      <c r="H339" s="37" t="s">
        <v>105</v>
      </c>
      <c r="I339" s="35"/>
      <c r="K339" s="36"/>
      <c r="L339" s="37" t="s">
        <v>106</v>
      </c>
      <c r="M339" s="35"/>
    </row>
    <row r="340" spans="6:14" x14ac:dyDescent="0.25">
      <c r="G340" s="38" t="s">
        <v>104</v>
      </c>
      <c r="H340" s="5" t="s">
        <v>2</v>
      </c>
      <c r="I340" s="5" t="s">
        <v>3</v>
      </c>
      <c r="J340" s="5" t="s">
        <v>147</v>
      </c>
      <c r="K340" s="39"/>
      <c r="L340" s="5" t="s">
        <v>2</v>
      </c>
      <c r="M340" s="5" t="s">
        <v>3</v>
      </c>
      <c r="N340" s="5" t="s">
        <v>147</v>
      </c>
    </row>
    <row r="341" spans="6:14" ht="18" x14ac:dyDescent="0.35">
      <c r="F341" t="s">
        <v>13</v>
      </c>
      <c r="G341" s="1" t="s">
        <v>6</v>
      </c>
      <c r="H341" s="24">
        <v>2.1000000000000001E-2</v>
      </c>
      <c r="I341" s="24">
        <v>0.03</v>
      </c>
      <c r="J341" s="24">
        <v>2.7E-2</v>
      </c>
      <c r="K341" s="24"/>
      <c r="L341" s="24">
        <v>2.1000000000000001E-2</v>
      </c>
      <c r="M341" s="24">
        <v>3.1E-2</v>
      </c>
      <c r="N341" s="24">
        <v>2.7E-2</v>
      </c>
    </row>
    <row r="342" spans="6:14" ht="18" x14ac:dyDescent="0.35">
      <c r="F342" s="25" t="s">
        <v>134</v>
      </c>
      <c r="G342" s="1"/>
      <c r="H342" s="26">
        <f>IF(H341&gt;H$14/2,"Senza senso",H341/H$14)</f>
        <v>6.8181818181818184E-5</v>
      </c>
      <c r="I342" s="26">
        <f>IF(I341&gt;I$14/2,"Senza senso",I341/I$14)</f>
        <v>9.9999999999999991E-5</v>
      </c>
      <c r="J342" s="26">
        <f>IF(J341&gt;J$14/2,"Senza senso",J341/J$14)</f>
        <v>8.6206896551724145E-5</v>
      </c>
      <c r="K342" s="24"/>
      <c r="L342" s="26">
        <f>IF(L341&gt;H$14/2,"Senza senso",L341/H$14)</f>
        <v>6.8181818181818184E-5</v>
      </c>
      <c r="M342" s="26">
        <f>IF(M341&gt;I$14/2,"Senza senso",M341/I$14)</f>
        <v>1.0333333333333333E-4</v>
      </c>
      <c r="N342" s="26">
        <f>IF(N341&gt;J$14/2,"Senza senso",N341/J$14)</f>
        <v>8.6206896551724145E-5</v>
      </c>
    </row>
    <row r="343" spans="6:14" ht="18" x14ac:dyDescent="0.35">
      <c r="F343" t="s">
        <v>14</v>
      </c>
      <c r="G343" s="1" t="s">
        <v>6</v>
      </c>
      <c r="H343" s="24">
        <v>0.125</v>
      </c>
      <c r="I343" s="24">
        <v>0.17599999999999999</v>
      </c>
      <c r="J343" s="24">
        <v>0.151</v>
      </c>
      <c r="K343" s="24"/>
      <c r="L343" s="24">
        <v>0.125</v>
      </c>
      <c r="M343" s="24">
        <v>0.17699999999999999</v>
      </c>
      <c r="N343" s="24">
        <v>0.151</v>
      </c>
    </row>
    <row r="344" spans="6:14" ht="18" x14ac:dyDescent="0.35">
      <c r="F344" s="25" t="s">
        <v>135</v>
      </c>
      <c r="G344" s="1"/>
      <c r="H344" s="26">
        <f>IF(H343&gt;H$16/2,"Senza senso",H343/H$16)</f>
        <v>2.1043771043771043E-4</v>
      </c>
      <c r="I344" s="26">
        <f>IF(I343&gt;I$16/2,"Senza senso",I343/I$16)</f>
        <v>2.9333333333333333E-4</v>
      </c>
      <c r="J344" s="26">
        <f>IF(J343&gt;J$16/2,"Senza senso",J343/J$16)</f>
        <v>2.515408962185574E-4</v>
      </c>
      <c r="K344" s="24"/>
      <c r="L344" s="26">
        <f>IF(L343&gt;H$16/2,"Senza senso",L343/H$16)</f>
        <v>2.1043771043771043E-4</v>
      </c>
      <c r="M344" s="26">
        <f>IF(M343&gt;I$16/2,"Senza senso",M343/I$16)</f>
        <v>2.9499999999999996E-4</v>
      </c>
      <c r="N344" s="26">
        <f>IF(N343&gt;J$16/2,"Senza senso",N343/J$16)</f>
        <v>2.515408962185574E-4</v>
      </c>
    </row>
    <row r="345" spans="6:14" ht="18" x14ac:dyDescent="0.35">
      <c r="F345" t="s">
        <v>15</v>
      </c>
      <c r="G345" s="1" t="s">
        <v>6</v>
      </c>
      <c r="H345" s="24">
        <v>0.33400000000000002</v>
      </c>
      <c r="I345" s="24">
        <v>0.41899999999999998</v>
      </c>
      <c r="J345" s="24">
        <v>0.36799999999999999</v>
      </c>
      <c r="K345" s="24"/>
      <c r="L345" s="24">
        <v>0.33400000000000002</v>
      </c>
      <c r="M345" s="24">
        <v>0.41899999999999998</v>
      </c>
      <c r="N345" s="24">
        <v>0.36799999999999999</v>
      </c>
    </row>
    <row r="346" spans="6:14" ht="18" x14ac:dyDescent="0.35">
      <c r="F346" s="25" t="s">
        <v>136</v>
      </c>
      <c r="G346" s="1"/>
      <c r="H346" s="26">
        <f>IF(H345&gt;H$18/2,"Senza senso",H345/H$18)</f>
        <v>4.1031941031941037E-4</v>
      </c>
      <c r="I346" s="26">
        <f>IF(I345&gt;I$18/2,"Senza senso",I345/I$18)</f>
        <v>5.1728395061728389E-4</v>
      </c>
      <c r="J346" s="26">
        <f>IF(J345&gt;J$18/2,"Senza senso",J345/J$18)</f>
        <v>4.5482635026572731E-4</v>
      </c>
      <c r="K346" s="24"/>
      <c r="L346" s="26">
        <f>IF(L345&gt;H$18/2,"Senza senso",L345/H$18)</f>
        <v>4.1031941031941037E-4</v>
      </c>
      <c r="M346" s="26">
        <f>IF(M345&gt;I$18/2,"Senza senso",M345/I$18)</f>
        <v>5.1728395061728389E-4</v>
      </c>
      <c r="N346" s="26">
        <f>IF(N345&gt;J$18/2,"Senza senso",N345/J$18)</f>
        <v>4.5482635026572731E-4</v>
      </c>
    </row>
    <row r="347" spans="6:14" ht="18" x14ac:dyDescent="0.35">
      <c r="F347" t="s">
        <v>16</v>
      </c>
      <c r="G347" s="1" t="s">
        <v>6</v>
      </c>
      <c r="H347" s="24">
        <v>0.64200000000000002</v>
      </c>
      <c r="I347" s="24">
        <v>0.77900000000000003</v>
      </c>
      <c r="J347" s="24">
        <v>0.70899999999999996</v>
      </c>
      <c r="K347" s="24"/>
      <c r="L347" s="24">
        <v>0.64300000000000002</v>
      </c>
      <c r="M347" s="24">
        <v>0.78</v>
      </c>
      <c r="N347" s="24">
        <v>0.70899999999999996</v>
      </c>
    </row>
    <row r="348" spans="6:14" ht="18" x14ac:dyDescent="0.35">
      <c r="F348" s="25" t="s">
        <v>137</v>
      </c>
      <c r="H348" s="26">
        <f>IF(H347&gt;H20/2,"Senza senso",H347/H20)</f>
        <v>6.4848484848484852E-4</v>
      </c>
      <c r="I348" s="26">
        <f>IF(I347&gt;I$20/2,"Senza senso",I347/I$20)</f>
        <v>7.8686868686868685E-4</v>
      </c>
      <c r="J348" s="26">
        <f>IF(J347&gt;J$20/2,"Senza senso",J347/J$20)</f>
        <v>7.1486186731195805E-4</v>
      </c>
      <c r="K348" s="24"/>
      <c r="L348" s="26">
        <f>IF(L347&gt;H20/2,"Senza senso",L347/H20)</f>
        <v>6.4949494949494949E-4</v>
      </c>
      <c r="M348" s="26">
        <f>IF(M347&gt;I$20/2,"Senza senso",M347/I$20)</f>
        <v>7.8787878787878792E-4</v>
      </c>
      <c r="N348" s="26">
        <f>IF(N347&gt;J$20/2,"Senza senso",N347/J$20)</f>
        <v>7.1486186731195805E-4</v>
      </c>
    </row>
    <row r="349" spans="6:14" ht="18" x14ac:dyDescent="0.35">
      <c r="F349" t="s">
        <v>158</v>
      </c>
      <c r="G349" s="1" t="s">
        <v>6</v>
      </c>
      <c r="H349" s="24">
        <v>1.389</v>
      </c>
      <c r="I349" s="24">
        <v>1.59</v>
      </c>
      <c r="J349" s="24">
        <v>1.46</v>
      </c>
      <c r="L349" s="24">
        <v>1.389</v>
      </c>
      <c r="M349" s="24">
        <v>1.59</v>
      </c>
      <c r="N349" s="24">
        <v>1.46</v>
      </c>
    </row>
    <row r="350" spans="6:14" ht="18" x14ac:dyDescent="0.35">
      <c r="F350" s="25" t="s">
        <v>156</v>
      </c>
      <c r="G350" s="34"/>
      <c r="H350" s="26">
        <f>IF(H349&gt;H22/2,"Senza senso",H349/H22)</f>
        <v>1.1274350649350649E-3</v>
      </c>
      <c r="I350" s="26">
        <f>IF(I349&gt;I22/2,"Senza senso",I349/I22)</f>
        <v>1.2926829268292684E-3</v>
      </c>
      <c r="J350" s="26">
        <f>IF(J349&gt;J22/2,"Senza senso",J349/J22)</f>
        <v>1.1901850493193119E-3</v>
      </c>
      <c r="L350" s="26">
        <f>IF(L349&gt;H22/2,"Senza senso",L349/H22)</f>
        <v>1.1274350649350649E-3</v>
      </c>
      <c r="M350" s="26">
        <f>IF(M349&gt;I22/2,"Senza senso",M349/I22)</f>
        <v>1.2926829268292684E-3</v>
      </c>
      <c r="N350" s="26">
        <f>IF(N349&gt;J22/2,"Senza senso",N349/J22)</f>
        <v>1.1901850493193119E-3</v>
      </c>
    </row>
    <row r="351" spans="6:14" ht="18" x14ac:dyDescent="0.35">
      <c r="F351" t="s">
        <v>159</v>
      </c>
      <c r="G351" s="1" t="s">
        <v>6</v>
      </c>
      <c r="H351" s="24">
        <v>3.1280000000000001</v>
      </c>
      <c r="I351" s="24">
        <v>3.395</v>
      </c>
      <c r="J351" s="24">
        <v>3.2850000000000001</v>
      </c>
      <c r="L351" s="24">
        <v>3.1280000000000001</v>
      </c>
      <c r="M351" s="24">
        <v>3.3959999999999999</v>
      </c>
      <c r="N351" s="24">
        <v>3.2850000000000001</v>
      </c>
    </row>
    <row r="352" spans="6:14" ht="18" x14ac:dyDescent="0.35">
      <c r="F352" s="25" t="s">
        <v>157</v>
      </c>
      <c r="G352" s="34"/>
      <c r="H352" s="26">
        <f>IF(H351&gt;H24/2,"Senza senso",H351/H24)</f>
        <v>2.0311688311688311E-3</v>
      </c>
      <c r="I352" s="26">
        <f>IF(I351&gt;I24/2,"Senza senso",I351/I24)</f>
        <v>2.2189542483660131E-3</v>
      </c>
      <c r="J352" s="26">
        <f>IF(J351&gt;J24/2,"Senza senso",J351/J24)</f>
        <v>2.1332554061952074E-3</v>
      </c>
      <c r="L352" s="26">
        <f>IF(L351&gt;H24/2,"Senza senso",L351/H24)</f>
        <v>2.0311688311688311E-3</v>
      </c>
      <c r="M352" s="26">
        <f>IF(M351&gt;I24/2,"Senza senso",M351/I24)</f>
        <v>2.2196078431372546E-3</v>
      </c>
      <c r="N352" s="26">
        <f>IF(N351&gt;J24/2,"Senza senso",N351/J24)</f>
        <v>2.1332554061952074E-3</v>
      </c>
    </row>
    <row r="353" spans="6:14" ht="18" x14ac:dyDescent="0.35">
      <c r="F353" t="s">
        <v>160</v>
      </c>
      <c r="G353" s="1" t="s">
        <v>6</v>
      </c>
      <c r="H353" s="24">
        <v>5.65</v>
      </c>
      <c r="I353" s="24">
        <v>6.0780000000000003</v>
      </c>
      <c r="J353" s="24">
        <v>5.83</v>
      </c>
      <c r="L353" s="24">
        <v>5.6509999999999998</v>
      </c>
      <c r="M353" s="24">
        <v>6.0780000000000003</v>
      </c>
      <c r="N353" s="24">
        <v>5.83</v>
      </c>
    </row>
    <row r="354" spans="6:14" ht="18" x14ac:dyDescent="0.35">
      <c r="F354" s="25" t="s">
        <v>161</v>
      </c>
      <c r="G354" s="34"/>
      <c r="H354" s="26">
        <f>IF(H353&gt;H26/2,"Senza senso",H353/H26)</f>
        <v>3.1319290465631933E-3</v>
      </c>
      <c r="I354" s="26">
        <f>IF(I353&gt;I26/2,"Senza senso",I353/I26)</f>
        <v>3.3766666666666667E-3</v>
      </c>
      <c r="J354" s="26">
        <f>IF(J353&gt;J26/2,"Senza senso",J353/J26)</f>
        <v>3.2372702537620079E-3</v>
      </c>
      <c r="L354" s="26">
        <f>IF(L353&gt;H26/2,"Senza senso",L353/H26)</f>
        <v>3.1324833702882481E-3</v>
      </c>
      <c r="M354" s="26">
        <f>IF(M353&gt;I26/2,"Senza senso",M353/I26)</f>
        <v>3.3766666666666667E-3</v>
      </c>
      <c r="N354" s="26">
        <f>IF(N353&gt;J26/2,"Senza senso",N353/J26)</f>
        <v>3.2372702537620079E-3</v>
      </c>
    </row>
    <row r="355" spans="6:14" ht="18" x14ac:dyDescent="0.35">
      <c r="F355" t="s">
        <v>172</v>
      </c>
      <c r="G355" s="1" t="s">
        <v>6</v>
      </c>
      <c r="H355" s="24">
        <v>8.3849999999999998</v>
      </c>
      <c r="I355" s="24">
        <v>9.1059999999999999</v>
      </c>
      <c r="J355" s="24">
        <v>8.7780000000000005</v>
      </c>
      <c r="L355" s="24">
        <v>8.3849999999999998</v>
      </c>
      <c r="M355">
        <v>9.1059999999999999</v>
      </c>
      <c r="N355">
        <v>8.7780000000000005</v>
      </c>
    </row>
    <row r="356" spans="6:14" ht="18" x14ac:dyDescent="0.35">
      <c r="F356" s="25" t="s">
        <v>173</v>
      </c>
      <c r="G356" s="34"/>
      <c r="H356" s="26">
        <f>IF(H355&gt;H28/2,"Senza senso",H355/H28)</f>
        <v>4.1883116883116881E-3</v>
      </c>
      <c r="I356" s="26">
        <f>IF(I355&gt;I28/2,"Senza senso",I355/I28)</f>
        <v>4.5303482587064677E-3</v>
      </c>
      <c r="J356" s="26">
        <f>IF(J355&gt;J28/2,"Senza senso",J355/J28)</f>
        <v>4.3678160919540234E-3</v>
      </c>
      <c r="L356" s="26">
        <f>IF(L355&gt;H28/2,"Senza senso",L355/H28)</f>
        <v>4.1883116883116881E-3</v>
      </c>
      <c r="M356" s="26">
        <f>IF(M355&gt;I28/2,"Senza senso",M355/I28)</f>
        <v>4.5303482587064677E-3</v>
      </c>
      <c r="N356" s="26">
        <f>IF(N355&gt;J28/2,"Senza senso",N355/J28)</f>
        <v>4.3678160919540234E-3</v>
      </c>
    </row>
    <row r="357" spans="6:14" x14ac:dyDescent="0.25">
      <c r="H357" s="24"/>
      <c r="I357" s="24"/>
      <c r="J357" s="24"/>
    </row>
    <row r="358" spans="6:14" x14ac:dyDescent="0.25">
      <c r="F358" s="20" t="s">
        <v>96</v>
      </c>
      <c r="G358" s="1"/>
      <c r="H358" s="5" t="s">
        <v>2</v>
      </c>
      <c r="I358" s="5" t="s">
        <v>3</v>
      </c>
      <c r="J358" s="5" t="s">
        <v>147</v>
      </c>
      <c r="M358" s="5"/>
    </row>
    <row r="359" spans="6:14" ht="18" x14ac:dyDescent="0.35">
      <c r="F359" t="s">
        <v>13</v>
      </c>
      <c r="G359" s="1" t="s">
        <v>6</v>
      </c>
      <c r="H359" s="24">
        <f>$H$206*$H$205*H$14^4/H$192</f>
        <v>3.1819531309793033E-3</v>
      </c>
      <c r="I359" s="24">
        <f>$H$206*$H$205*I$14^4/I$192</f>
        <v>3.1796032878214078E-3</v>
      </c>
      <c r="J359" s="24">
        <f>$H$206*$H$205*J$14^4/J$192</f>
        <v>3.6471240436743145E-3</v>
      </c>
      <c r="M359" s="24"/>
    </row>
    <row r="360" spans="6:14" ht="18" x14ac:dyDescent="0.35">
      <c r="F360" s="25" t="s">
        <v>134</v>
      </c>
      <c r="G360" s="1"/>
      <c r="H360" s="26">
        <f>IF(H359&gt;H$14/2,"Senza senso",H359/H$14)</f>
        <v>1.0331016659023712E-5</v>
      </c>
      <c r="I360" s="26">
        <f>IF(I359&gt;I$14/2,"Senza senso",I359/I$14)</f>
        <v>1.059867762607136E-5</v>
      </c>
      <c r="J360" s="26">
        <f>IF(J359&gt;J$14/2,"Senza senso",J359/J$14)</f>
        <v>1.164471278312361E-5</v>
      </c>
      <c r="M360" s="26"/>
    </row>
    <row r="361" spans="6:14" ht="18" x14ac:dyDescent="0.35">
      <c r="F361" t="s">
        <v>14</v>
      </c>
      <c r="G361" s="1" t="s">
        <v>6</v>
      </c>
      <c r="H361" s="24">
        <f>$H$206*$H$205*H$16^4/H$192</f>
        <v>4.4018647279278733E-2</v>
      </c>
      <c r="I361" s="24">
        <f>$H$206*$H$205*I$16^4/I$192</f>
        <v>5.0873652605142525E-2</v>
      </c>
      <c r="J361" s="24">
        <f>$H$206*$H$205*J$16^4/J$192</f>
        <v>4.9219465639750375E-2</v>
      </c>
      <c r="M361" s="24"/>
    </row>
    <row r="362" spans="6:14" ht="18" x14ac:dyDescent="0.35">
      <c r="F362" s="25" t="s">
        <v>135</v>
      </c>
      <c r="G362" s="1"/>
      <c r="H362" s="26">
        <f>IF(H361&gt;H$16/2,"Senza senso",H361/H$16)</f>
        <v>7.4105466800132548E-5</v>
      </c>
      <c r="I362" s="26">
        <f>IF(I361&gt;I$16/2,"Senza senso",I361/I$16)</f>
        <v>8.4789421008570878E-5</v>
      </c>
      <c r="J362" s="26">
        <f>IF(J361&gt;J$16/2,"Senza senso",J361/J$16)</f>
        <v>8.1991447009412594E-5</v>
      </c>
      <c r="M362" s="26"/>
    </row>
    <row r="363" spans="6:14" ht="18" x14ac:dyDescent="0.35">
      <c r="F363" t="s">
        <v>15</v>
      </c>
      <c r="G363" s="1" t="s">
        <v>6</v>
      </c>
      <c r="H363" s="24">
        <f>$H$206*$H$205*H$18^4/H$192</f>
        <v>0.15523460177814719</v>
      </c>
      <c r="I363" s="24">
        <f>$H$206*$H$205*I$18^4/I$192</f>
        <v>0.16897715508830971</v>
      </c>
      <c r="J363" s="24">
        <f>$H$206*$H$205*J$18^4/J$192</f>
        <v>0.16243227449547393</v>
      </c>
      <c r="M363" s="24"/>
    </row>
    <row r="364" spans="6:14" ht="18" x14ac:dyDescent="0.35">
      <c r="F364" s="25" t="s">
        <v>136</v>
      </c>
      <c r="G364" s="1"/>
      <c r="H364" s="26">
        <f>IF(H363&gt;H$18/2,"Senza senso",H363/H$18)</f>
        <v>1.9070589899035281E-4</v>
      </c>
      <c r="I364" s="26">
        <f>IF(I363&gt;I$18/2,"Senza senso",I363/I$18)</f>
        <v>2.0861377171396261E-4</v>
      </c>
      <c r="J364" s="26">
        <f>IF(J363&gt;J$18/2,"Senza senso",J363/J$18)</f>
        <v>2.0075673525580759E-4</v>
      </c>
      <c r="M364" s="26"/>
    </row>
    <row r="365" spans="6:14" ht="18" x14ac:dyDescent="0.35">
      <c r="F365" t="s">
        <v>16</v>
      </c>
      <c r="G365" s="1" t="s">
        <v>6</v>
      </c>
      <c r="H365" s="24">
        <f>$H$206*$H$205*H20^4/H$192</f>
        <v>0.33965005616727417</v>
      </c>
      <c r="I365" s="24">
        <f>$H$206*$H$205*I$20^4/I$192</f>
        <v>0.37707583106964521</v>
      </c>
      <c r="J365" s="24">
        <f>$H$206*$H$205*J$20^4/J$192</f>
        <v>0.36674139853061749</v>
      </c>
      <c r="M365" s="24"/>
    </row>
    <row r="366" spans="6:14" ht="18" x14ac:dyDescent="0.35">
      <c r="F366" s="25" t="s">
        <v>137</v>
      </c>
      <c r="H366" s="26">
        <f>IF(H365&gt;H20/2,"Senza senso",H365/H20)</f>
        <v>3.4308086481542847E-4</v>
      </c>
      <c r="I366" s="26">
        <f>IF(I365&gt;I$20/2,"Senza senso",I365/I$20)</f>
        <v>3.8088467784812649E-4</v>
      </c>
      <c r="J366" s="26">
        <f>IF(J365&gt;J$20/2,"Senza senso",J365/J$20)</f>
        <v>3.6977354157150384E-4</v>
      </c>
      <c r="M366" s="26"/>
    </row>
    <row r="367" spans="6:14" ht="18" x14ac:dyDescent="0.35">
      <c r="F367" t="s">
        <v>158</v>
      </c>
      <c r="G367" s="1" t="s">
        <v>6</v>
      </c>
      <c r="H367" s="24">
        <f>$H$206*$H$205*H22^4/H$192</f>
        <v>0.81458000153070165</v>
      </c>
      <c r="I367" s="24">
        <f>$H$206*$H$205*I22^4/I$192</f>
        <v>0.89847989661975103</v>
      </c>
      <c r="J367" s="24">
        <f>$H$206*$H$205*J22^4/J$192</f>
        <v>0.85825626449463399</v>
      </c>
    </row>
    <row r="368" spans="6:14" ht="18" x14ac:dyDescent="0.35">
      <c r="F368" s="25" t="s">
        <v>156</v>
      </c>
      <c r="G368" s="34"/>
      <c r="H368" s="26">
        <f>IF(H367&gt;H22/2,"Senza senso",H367/H22)</f>
        <v>6.6118506617751757E-4</v>
      </c>
      <c r="I368" s="26">
        <f>IF(I367&gt;I22/2,"Senza senso",I367/I22)</f>
        <v>7.3047146066646429E-4</v>
      </c>
      <c r="J368" s="26">
        <f>IF(J367&gt;J22/2,"Senza senso",J367/J22)</f>
        <v>6.9964642088092761E-4</v>
      </c>
    </row>
    <row r="369" spans="6:13" ht="18" x14ac:dyDescent="0.35">
      <c r="F369" t="s">
        <v>159</v>
      </c>
      <c r="G369" s="1" t="s">
        <v>6</v>
      </c>
      <c r="H369" s="24">
        <f>$H$206*$H$205*H24^4/H$192</f>
        <v>1.9887207068620645</v>
      </c>
      <c r="I369" s="24">
        <f>$H$206*$H$205*I24^4/I$192</f>
        <v>2.1510655342372678</v>
      </c>
      <c r="J369" s="24">
        <f>$H$206*$H$205*J24^4/J$192</f>
        <v>2.1312460768220221</v>
      </c>
    </row>
    <row r="370" spans="6:13" ht="18" x14ac:dyDescent="0.35">
      <c r="F370" s="25" t="s">
        <v>157</v>
      </c>
      <c r="G370" s="34"/>
      <c r="H370" s="26">
        <f>IF(H369&gt;H24/2,"Senza senso",H369/H24)</f>
        <v>1.2913770823779638E-3</v>
      </c>
      <c r="I370" s="26">
        <f>IF(I369&gt;I24/2,"Senza senso",I369/I24)</f>
        <v>1.405925185775992E-3</v>
      </c>
      <c r="J370" s="26">
        <f>IF(J369&gt;J24/2,"Senza senso",J369/J24)</f>
        <v>1.3840158950724215E-3</v>
      </c>
    </row>
    <row r="371" spans="6:13" ht="18" x14ac:dyDescent="0.35">
      <c r="F371" t="s">
        <v>160</v>
      </c>
      <c r="G371" s="1" t="s">
        <v>6</v>
      </c>
      <c r="H371" s="24">
        <f>$H$206*$H$205*H26^4/H$192</f>
        <v>3.7448725786543964</v>
      </c>
      <c r="I371" s="24">
        <f>$H$206*$H$205*I26^4/I$192</f>
        <v>4.1207658610165447</v>
      </c>
      <c r="J371" s="24">
        <f>$H$206*$H$205*J26^4/J$192</f>
        <v>3.9867767168197825</v>
      </c>
    </row>
    <row r="372" spans="6:13" ht="18" x14ac:dyDescent="0.35">
      <c r="F372" s="25" t="s">
        <v>161</v>
      </c>
      <c r="G372" s="34"/>
      <c r="H372" s="26">
        <f>IF(H371&gt;H26/2,"Senza senso",H371/H26)</f>
        <v>2.0758717176576477E-3</v>
      </c>
      <c r="I372" s="26">
        <f>IF(I371&gt;I26/2,"Senza senso",I371/I26)</f>
        <v>2.2893143672314139E-3</v>
      </c>
      <c r="J372" s="26">
        <f>IF(J371&gt;J26/2,"Senza senso",J371/J26)</f>
        <v>2.213769069254141E-3</v>
      </c>
    </row>
    <row r="373" spans="6:13" ht="18" x14ac:dyDescent="0.35">
      <c r="F373" t="s">
        <v>172</v>
      </c>
      <c r="G373" s="1" t="s">
        <v>6</v>
      </c>
      <c r="H373" s="24">
        <f>$H$206*$H$205*H28^4/H$192</f>
        <v>5.6799852108687423</v>
      </c>
      <c r="I373" s="24">
        <f>$H$206*$H$205*I28^4/I$192</f>
        <v>6.4072570584887014</v>
      </c>
      <c r="J373" s="24">
        <f>$H$206*$H$205*J28^4/J$192</f>
        <v>6.1828463078399398</v>
      </c>
    </row>
    <row r="374" spans="6:13" ht="18" x14ac:dyDescent="0.35">
      <c r="F374" s="25" t="s">
        <v>173</v>
      </c>
      <c r="G374" s="34"/>
      <c r="H374" s="26">
        <f>IF(H373&gt;H28/2,"Senza senso",H373/H28)</f>
        <v>2.8371554499843866E-3</v>
      </c>
      <c r="I374" s="26">
        <f>IF(I373&gt;I28/2,"Senza senso",I373/I28)</f>
        <v>3.1876900788501E-3</v>
      </c>
      <c r="J374" s="26">
        <f>IF(J373&gt;J28/2,"Senza senso",J373/J28)</f>
        <v>3.0765021186445439E-3</v>
      </c>
    </row>
    <row r="375" spans="6:13" x14ac:dyDescent="0.25">
      <c r="H375" s="26"/>
      <c r="J375" s="24"/>
    </row>
    <row r="376" spans="6:13" ht="18" x14ac:dyDescent="0.35">
      <c r="G376" s="24"/>
      <c r="H376" s="10" t="s">
        <v>98</v>
      </c>
      <c r="I376" s="28" t="s">
        <v>92</v>
      </c>
      <c r="J376" s="24"/>
    </row>
    <row r="377" spans="6:13" x14ac:dyDescent="0.25">
      <c r="F377" s="20" t="s">
        <v>95</v>
      </c>
      <c r="G377" s="1"/>
      <c r="H377" s="5" t="s">
        <v>2</v>
      </c>
      <c r="I377" s="5" t="s">
        <v>3</v>
      </c>
      <c r="J377" s="5" t="s">
        <v>147</v>
      </c>
      <c r="M377" s="5"/>
    </row>
    <row r="378" spans="6:13" ht="18" x14ac:dyDescent="0.35">
      <c r="F378" t="s">
        <v>13</v>
      </c>
      <c r="G378" s="1" t="s">
        <v>6</v>
      </c>
      <c r="H378" s="24">
        <f>$H$206*$H$205*H$14^4/H$194</f>
        <v>3.7085713239339126E-3</v>
      </c>
      <c r="I378" s="24">
        <f>$H$206*$H$205*I$14^4/I$194</f>
        <v>3.3426845786598144E-3</v>
      </c>
      <c r="J378" s="24">
        <f>$H$206*$H$205*J$14^4/J$194</f>
        <v>3.9691808858966192E-3</v>
      </c>
      <c r="M378" s="24"/>
    </row>
    <row r="379" spans="6:13" ht="18" x14ac:dyDescent="0.35">
      <c r="F379" s="25" t="s">
        <v>134</v>
      </c>
      <c r="G379" s="1"/>
      <c r="H379" s="26">
        <f>IF(H378&gt;H$14/2,"Senza senso",H378/H$14)</f>
        <v>1.2040815986798418E-5</v>
      </c>
      <c r="I379" s="26">
        <f>IF(I378&gt;I$14/2,"Senza senso",I378/I$14)</f>
        <v>1.1142281928866049E-5</v>
      </c>
      <c r="J379" s="26">
        <f>IF(J378&gt;J$14/2,"Senza senso",J378/J$14)</f>
        <v>1.2672991334280393E-5</v>
      </c>
      <c r="M379" s="26"/>
    </row>
    <row r="380" spans="6:13" ht="18" x14ac:dyDescent="0.35">
      <c r="F380" t="s">
        <v>14</v>
      </c>
      <c r="G380" s="1" t="s">
        <v>6</v>
      </c>
      <c r="H380" s="24">
        <f>$H$206*$H$205*H$16^4/H$194</f>
        <v>5.1303801878455922E-2</v>
      </c>
      <c r="I380" s="24">
        <f>$H$206*$H$205*I$16^4/I$194</f>
        <v>5.348295325855703E-2</v>
      </c>
      <c r="J380" s="24">
        <f>$H$206*$H$205*J$16^4/J$194</f>
        <v>5.3565757537142933E-2</v>
      </c>
      <c r="M380" s="24"/>
    </row>
    <row r="381" spans="6:13" ht="18" x14ac:dyDescent="0.35">
      <c r="F381" s="25" t="s">
        <v>135</v>
      </c>
      <c r="G381" s="1"/>
      <c r="H381" s="26">
        <f>IF(H380&gt;H$16/2,"Senza senso",H380/H$16)</f>
        <v>8.637003683241738E-5</v>
      </c>
      <c r="I381" s="26">
        <f>IF(I380&gt;I$16/2,"Senza senso",I380/I$16)</f>
        <v>8.9138255430928388E-5</v>
      </c>
      <c r="J381" s="26">
        <f>IF(J380&gt;J$16/2,"Senza senso",J380/J$16)</f>
        <v>8.9231646738535623E-5</v>
      </c>
      <c r="M381" s="26"/>
    </row>
    <row r="382" spans="6:13" ht="18" x14ac:dyDescent="0.35">
      <c r="F382" t="s">
        <v>15</v>
      </c>
      <c r="G382" s="1" t="s">
        <v>6</v>
      </c>
      <c r="H382" s="24">
        <f>$H$206*$H$205*H$18^4/H$194</f>
        <v>0.18092616985202276</v>
      </c>
      <c r="I382" s="24">
        <f>$H$206*$H$205*I$18^4/I$194</f>
        <v>0.17764396351675504</v>
      </c>
      <c r="J382" s="24">
        <f>$H$206*$H$205*J$18^4/J$194</f>
        <v>0.17677574753685055</v>
      </c>
      <c r="M382" s="24"/>
    </row>
    <row r="383" spans="6:13" ht="18" x14ac:dyDescent="0.35">
      <c r="F383" s="25" t="s">
        <v>136</v>
      </c>
      <c r="G383" s="1"/>
      <c r="H383" s="26">
        <f>IF(H382&gt;H$18/2,"Senza senso",H382/H$18)</f>
        <v>2.2226802193123189E-4</v>
      </c>
      <c r="I383" s="26">
        <f>IF(I382&gt;I$18/2,"Senza senso",I382/I$18)</f>
        <v>2.1931353520587043E-4</v>
      </c>
      <c r="J383" s="26">
        <f>IF(J382&gt;J$18/2,"Senza senso",J382/J$18)</f>
        <v>2.1848442409696026E-4</v>
      </c>
      <c r="M383" s="26"/>
    </row>
    <row r="384" spans="6:13" ht="18" x14ac:dyDescent="0.35">
      <c r="F384" t="s">
        <v>16</v>
      </c>
      <c r="G384" s="1" t="s">
        <v>6</v>
      </c>
      <c r="H384" s="24">
        <f>$H$206*$H$205*H20^4/H$194</f>
        <v>0.39586266881524629</v>
      </c>
      <c r="I384" s="24">
        <f>$H$206*$H$205*I$20^4/I$194</f>
        <v>0.39641598382088261</v>
      </c>
      <c r="J384" s="24">
        <f>$H$206*$H$205*J$20^4/J$194</f>
        <v>0.39912625172139915</v>
      </c>
      <c r="M384" s="24"/>
    </row>
    <row r="385" spans="6:14" ht="18" x14ac:dyDescent="0.35">
      <c r="F385" s="25" t="s">
        <v>137</v>
      </c>
      <c r="H385" s="26">
        <f>IF(H384&gt;H20/2,"Senza senso",H384/H20)</f>
        <v>3.9986128163156193E-4</v>
      </c>
      <c r="I385" s="26">
        <f>IF(I384&gt;I$20/2,"Senza senso",I384/I$20)</f>
        <v>4.0042018567765919E-4</v>
      </c>
      <c r="J385" s="26">
        <f>IF(J384&gt;J$20/2,"Senza senso",J384/J$20)</f>
        <v>4.0242614611957971E-4</v>
      </c>
      <c r="M385" s="26"/>
    </row>
    <row r="386" spans="6:14" ht="18" x14ac:dyDescent="0.35">
      <c r="F386" t="s">
        <v>158</v>
      </c>
      <c r="G386" s="1" t="s">
        <v>6</v>
      </c>
      <c r="H386" s="24">
        <f>$H$206*$H$205*H22^4/H$194</f>
        <v>0.94939425892708162</v>
      </c>
      <c r="I386" s="24">
        <f>$H$206*$H$205*I22^4/I$194</f>
        <v>0.94456277176783365</v>
      </c>
      <c r="J386" s="24">
        <f>$H$206*$H$205*J22^4/J$194</f>
        <v>0.93404400822110867</v>
      </c>
    </row>
    <row r="387" spans="6:14" ht="18" x14ac:dyDescent="0.35">
      <c r="F387" s="25" t="s">
        <v>156</v>
      </c>
      <c r="G387" s="34"/>
      <c r="H387" s="26">
        <f>IF(H386&gt;H22/2,"Senza senso",H386/H22)</f>
        <v>7.7061222315509873E-4</v>
      </c>
      <c r="I387" s="26">
        <f>IF(I386&gt;I22/2,"Senza senso",I386/I22)</f>
        <v>7.6793721281937692E-4</v>
      </c>
      <c r="J387" s="26">
        <f>IF(J386&gt;J22/2,"Senza senso",J386/J22)</f>
        <v>7.6142822876099179E-4</v>
      </c>
    </row>
    <row r="388" spans="6:14" ht="18" x14ac:dyDescent="0.35">
      <c r="F388" t="s">
        <v>159</v>
      </c>
      <c r="G388" s="1" t="s">
        <v>6</v>
      </c>
      <c r="H388" s="24">
        <f>$H$206*$H$205*H24^4/H$194</f>
        <v>2.3178570774586955</v>
      </c>
      <c r="I388" s="24">
        <f>$H$206*$H$205*I24^4/I$194</f>
        <v>2.2613933054233955</v>
      </c>
      <c r="J388" s="24">
        <f>$H$206*$H$205*J24^4/J$194</f>
        <v>2.3194443320172238</v>
      </c>
    </row>
    <row r="389" spans="6:14" ht="18" x14ac:dyDescent="0.35">
      <c r="F389" s="25" t="s">
        <v>157</v>
      </c>
      <c r="G389" s="34"/>
      <c r="H389" s="26">
        <f>IF(H388&gt;H24/2,"Senza senso",H388/H24)</f>
        <v>1.5051019983498024E-3</v>
      </c>
      <c r="I389" s="26">
        <f>IF(I388&gt;I24/2,"Senza senso",I388/I24)</f>
        <v>1.4780348401460101E-3</v>
      </c>
      <c r="J389" s="26">
        <f>IF(J388&gt;J24/2,"Senza senso",J388/J24)</f>
        <v>1.5062304903027623E-3</v>
      </c>
    </row>
    <row r="390" spans="6:14" ht="18" x14ac:dyDescent="0.35">
      <c r="F390" t="s">
        <v>160</v>
      </c>
      <c r="G390" s="1" t="s">
        <v>6</v>
      </c>
      <c r="H390" s="24">
        <f>$H$206*$H$205*H26^4/H$194</f>
        <v>4.3646548158645633</v>
      </c>
      <c r="I390" s="24">
        <f>$H$206*$H$205*I26^4/I$194</f>
        <v>4.3321192139431197</v>
      </c>
      <c r="J390" s="24">
        <f>$H$206*$H$205*J26^4/J$194</f>
        <v>4.3388263605085795</v>
      </c>
    </row>
    <row r="391" spans="6:14" ht="18" x14ac:dyDescent="0.35">
      <c r="F391" s="25" t="s">
        <v>161</v>
      </c>
      <c r="G391" s="34"/>
      <c r="H391" s="26">
        <f>IF(H390&gt;H26/2,"Senza senso",H390/H26)</f>
        <v>2.419431716111177E-3</v>
      </c>
      <c r="I391" s="26">
        <f>IF(I390&gt;I26/2,"Senza senso",I390/I26)</f>
        <v>2.4067328966350665E-3</v>
      </c>
      <c r="J391" s="26">
        <f>IF(J390&gt;J26/2,"Senza senso",J390/J26)</f>
        <v>2.4092544619404629E-3</v>
      </c>
    </row>
    <row r="392" spans="6:14" ht="18" x14ac:dyDescent="0.35">
      <c r="F392" t="s">
        <v>172</v>
      </c>
      <c r="G392" s="1" t="s">
        <v>6</v>
      </c>
      <c r="H392" s="24">
        <f>$H$206*$H$205*H28^4/H$194</f>
        <v>6.6200315989297804</v>
      </c>
      <c r="I392" s="24">
        <f>$H$206*$H$205*I28^4/I$194</f>
        <v>6.7358841409407937</v>
      </c>
      <c r="J392" s="24">
        <f>$H$206*$H$205*J28^4/J$194</f>
        <v>6.72881840366224</v>
      </c>
    </row>
    <row r="393" spans="6:14" ht="18" x14ac:dyDescent="0.35">
      <c r="F393" s="25" t="s">
        <v>173</v>
      </c>
      <c r="G393" s="34"/>
      <c r="H393" s="26">
        <f>IF(H392&gt;H28/2,"Senza senso",H392/H28)</f>
        <v>3.3067090903745157E-3</v>
      </c>
      <c r="I393" s="26">
        <f>IF(I392&gt;I28/2,"Senza senso",I392/I28)</f>
        <v>3.3511861397715393E-3</v>
      </c>
      <c r="J393" s="26">
        <f>IF(J392&gt;J28/2,"Senza senso",J392/J28)</f>
        <v>3.3481705745445787E-3</v>
      </c>
    </row>
    <row r="394" spans="6:14" x14ac:dyDescent="0.25">
      <c r="H394" s="26"/>
      <c r="I394" s="24"/>
    </row>
    <row r="395" spans="6:14" x14ac:dyDescent="0.25">
      <c r="G395" s="34"/>
      <c r="H395" s="37" t="s">
        <v>105</v>
      </c>
      <c r="I395" s="35"/>
      <c r="K395" s="36"/>
      <c r="L395" s="37" t="s">
        <v>106</v>
      </c>
      <c r="M395" s="35"/>
    </row>
    <row r="396" spans="6:14" x14ac:dyDescent="0.25">
      <c r="G396" s="38" t="s">
        <v>104</v>
      </c>
      <c r="H396" s="5" t="s">
        <v>2</v>
      </c>
      <c r="I396" s="5" t="s">
        <v>3</v>
      </c>
      <c r="J396" s="5" t="s">
        <v>147</v>
      </c>
      <c r="K396" s="39"/>
      <c r="L396" s="5" t="s">
        <v>2</v>
      </c>
      <c r="M396" s="5" t="s">
        <v>3</v>
      </c>
      <c r="N396" s="5" t="s">
        <v>147</v>
      </c>
    </row>
    <row r="397" spans="6:14" ht="18" x14ac:dyDescent="0.35">
      <c r="F397" t="s">
        <v>13</v>
      </c>
      <c r="G397" s="1" t="s">
        <v>6</v>
      </c>
      <c r="H397" s="24">
        <v>1.7000000000000001E-2</v>
      </c>
      <c r="I397" s="24">
        <v>2.5000000000000001E-2</v>
      </c>
      <c r="J397" s="24">
        <v>2.1999999999999999E-2</v>
      </c>
      <c r="K397" s="24"/>
      <c r="L397" s="24">
        <v>1.7000000000000001E-2</v>
      </c>
      <c r="M397" s="24">
        <v>2.5000000000000001E-2</v>
      </c>
      <c r="N397" s="24">
        <v>2.3E-2</v>
      </c>
    </row>
    <row r="398" spans="6:14" ht="18" x14ac:dyDescent="0.35">
      <c r="F398" s="25" t="s">
        <v>134</v>
      </c>
      <c r="G398" s="1"/>
      <c r="H398" s="26">
        <f>IF(H397&gt;H$14/2,"Senza senso",H397/H$14)</f>
        <v>5.51948051948052E-5</v>
      </c>
      <c r="I398" s="26">
        <f>IF(I397&gt;I$14/2,"Senza senso",I397/I$14)</f>
        <v>8.3333333333333344E-5</v>
      </c>
      <c r="J398" s="26">
        <f>IF(J397&gt;J$14/2,"Senza senso",J397/J$14)</f>
        <v>7.0242656449552996E-5</v>
      </c>
      <c r="K398" s="24"/>
      <c r="L398" s="26">
        <f>IF(L397&gt;H$14/2,"Senza senso",L397/H$14)</f>
        <v>5.51948051948052E-5</v>
      </c>
      <c r="M398" s="26">
        <f>IF(M397&gt;I$14/2,"Senza senso",M397/I$14)</f>
        <v>8.3333333333333344E-5</v>
      </c>
      <c r="N398" s="26">
        <f>IF(N397&gt;J$14/2,"Senza senso",N397/J$14)</f>
        <v>7.3435504469987232E-5</v>
      </c>
    </row>
    <row r="399" spans="6:14" ht="18" x14ac:dyDescent="0.35">
      <c r="F399" t="s">
        <v>14</v>
      </c>
      <c r="G399" s="1" t="s">
        <v>6</v>
      </c>
      <c r="H399" s="24">
        <v>0.111</v>
      </c>
      <c r="I399" s="24">
        <v>0.152</v>
      </c>
      <c r="J399" s="24">
        <v>0.13200000000000001</v>
      </c>
      <c r="K399" s="24"/>
      <c r="L399" s="24">
        <v>0.111</v>
      </c>
      <c r="M399" s="24">
        <v>0.153</v>
      </c>
      <c r="N399" s="24">
        <v>0.13200000000000001</v>
      </c>
    </row>
    <row r="400" spans="6:14" ht="18" x14ac:dyDescent="0.35">
      <c r="F400" s="25" t="s">
        <v>135</v>
      </c>
      <c r="G400" s="1"/>
      <c r="H400" s="26">
        <f>IF(H399&gt;H$16/2,"Senza senso",H399/H$16)</f>
        <v>1.8686868686868687E-4</v>
      </c>
      <c r="I400" s="26">
        <f>IF(I399&gt;I$16/2,"Senza senso",I399/I$16)</f>
        <v>2.5333333333333333E-4</v>
      </c>
      <c r="J400" s="26">
        <f>IF(J399&gt;J$16/2,"Senza senso",J399/J$16)</f>
        <v>2.1989005497251377E-4</v>
      </c>
      <c r="K400" s="24"/>
      <c r="L400" s="26">
        <f>IF(L399&gt;H$16/2,"Senza senso",L399/H$16)</f>
        <v>1.8686868686868687E-4</v>
      </c>
      <c r="M400" s="26">
        <f>IF(M399&gt;I$16/2,"Senza senso",M399/I$16)</f>
        <v>2.5500000000000002E-4</v>
      </c>
      <c r="N400" s="26">
        <f>IF(N399&gt;J$16/2,"Senza senso",N399/J$16)</f>
        <v>2.1989005497251377E-4</v>
      </c>
    </row>
    <row r="401" spans="6:14" ht="18" x14ac:dyDescent="0.35">
      <c r="F401" t="s">
        <v>15</v>
      </c>
      <c r="G401" s="1" t="s">
        <v>6</v>
      </c>
      <c r="H401" s="24">
        <v>0.308</v>
      </c>
      <c r="I401" s="24">
        <v>0.374</v>
      </c>
      <c r="J401" s="24">
        <v>0.33400000000000002</v>
      </c>
      <c r="K401" s="24"/>
      <c r="L401" s="24">
        <v>0.308</v>
      </c>
      <c r="M401" s="24">
        <v>0.374</v>
      </c>
      <c r="N401" s="24">
        <v>0.33400000000000002</v>
      </c>
    </row>
    <row r="402" spans="6:14" ht="18" x14ac:dyDescent="0.35">
      <c r="F402" s="25" t="s">
        <v>136</v>
      </c>
      <c r="G402" s="1"/>
      <c r="H402" s="26">
        <f>IF(H401&gt;H$18/2,"Senza senso",H401/H$18)</f>
        <v>3.783783783783784E-4</v>
      </c>
      <c r="I402" s="26">
        <f>IF(I401&gt;I$18/2,"Senza senso",I401/I$18)</f>
        <v>4.617283950617284E-4</v>
      </c>
      <c r="J402" s="26">
        <f>IF(J401&gt;J$18/2,"Senza senso",J401/J$18)</f>
        <v>4.1280435051291558E-4</v>
      </c>
      <c r="K402" s="24"/>
      <c r="L402" s="26">
        <f>IF(L401&gt;H$18/2,"Senza senso",L401/H$18)</f>
        <v>3.783783783783784E-4</v>
      </c>
      <c r="M402" s="26">
        <f>IF(M401&gt;I$18/2,"Senza senso",M401/I$18)</f>
        <v>4.617283950617284E-4</v>
      </c>
      <c r="N402" s="26">
        <f>IF(N401&gt;J$18/2,"Senza senso",N401/J$18)</f>
        <v>4.1280435051291558E-4</v>
      </c>
    </row>
    <row r="403" spans="6:14" ht="18" x14ac:dyDescent="0.35">
      <c r="F403" t="s">
        <v>16</v>
      </c>
      <c r="G403" s="1" t="s">
        <v>6</v>
      </c>
      <c r="H403" s="24">
        <v>0.60399999999999998</v>
      </c>
      <c r="I403" s="24">
        <v>0.71199999999999997</v>
      </c>
      <c r="J403" s="24">
        <v>0.65700000000000003</v>
      </c>
      <c r="K403" s="24"/>
      <c r="L403" s="24">
        <v>0.60399999999999998</v>
      </c>
      <c r="M403" s="24">
        <v>0.71199999999999997</v>
      </c>
      <c r="N403" s="24">
        <v>0.65800000000000003</v>
      </c>
    </row>
    <row r="404" spans="6:14" ht="18" x14ac:dyDescent="0.35">
      <c r="F404" s="25" t="s">
        <v>137</v>
      </c>
      <c r="H404" s="26">
        <f>IF(H403&gt;H20/2,"Senza senso",H403/H20)</f>
        <v>6.1010101010101014E-4</v>
      </c>
      <c r="I404" s="26">
        <f>IF(I403&gt;I$20/2,"Senza senso",I403/I$20)</f>
        <v>7.1919191919191919E-4</v>
      </c>
      <c r="J404" s="26">
        <f>IF(J403&gt;J$20/2,"Senza senso",J403/J$20)</f>
        <v>6.6243194192377498E-4</v>
      </c>
      <c r="L404" s="26">
        <f>IF(L403&gt;H20/2,"Senza senso",L403/H20)</f>
        <v>6.1010101010101014E-4</v>
      </c>
      <c r="M404" s="26">
        <f>IF(M403&gt;I$20/2,"Senza senso",M403/I$20)</f>
        <v>7.1919191919191919E-4</v>
      </c>
      <c r="N404" s="26">
        <f>IF(N403&gt;J$20/2,"Senza senso",N403/J$20)</f>
        <v>6.6344020971970162E-4</v>
      </c>
    </row>
    <row r="405" spans="6:14" ht="18" x14ac:dyDescent="0.35">
      <c r="F405" t="s">
        <v>158</v>
      </c>
      <c r="G405" s="1" t="s">
        <v>6</v>
      </c>
      <c r="H405" s="24">
        <v>1.3280000000000001</v>
      </c>
      <c r="I405" s="24">
        <v>1.4850000000000001</v>
      </c>
      <c r="J405" s="24">
        <v>1.38</v>
      </c>
      <c r="L405" s="24">
        <v>1.3280000000000001</v>
      </c>
      <c r="M405" s="24">
        <v>1.4850000000000001</v>
      </c>
      <c r="N405" s="24">
        <v>1.38</v>
      </c>
    </row>
    <row r="406" spans="6:14" ht="18" x14ac:dyDescent="0.35">
      <c r="F406" s="25" t="s">
        <v>156</v>
      </c>
      <c r="G406" s="34"/>
      <c r="H406" s="26">
        <f>IF(H405&gt;H22/2,"Senza senso",H405/H22)</f>
        <v>1.0779220779220779E-3</v>
      </c>
      <c r="I406" s="26">
        <f>IF(I405&gt;I22/2,"Senza senso",I405/I22)</f>
        <v>1.2073170731707317E-3</v>
      </c>
      <c r="J406" s="26">
        <f>IF(J405&gt;J22/2,"Senza senso",J405/J22)</f>
        <v>1.1249694301785275E-3</v>
      </c>
      <c r="L406" s="26">
        <f>IF(L405&gt;H22/2,"Senza senso",L405/H22)</f>
        <v>1.0779220779220779E-3</v>
      </c>
      <c r="M406" s="26">
        <f>IF(M405&gt;I22/2,"Senza senso",M405/I22)</f>
        <v>1.2073170731707317E-3</v>
      </c>
      <c r="N406" s="26">
        <f>IF(N405&gt;J22/2,"Senza senso",N405/J22)</f>
        <v>1.1249694301785275E-3</v>
      </c>
    </row>
    <row r="407" spans="6:14" ht="18" x14ac:dyDescent="0.35">
      <c r="F407" t="s">
        <v>159</v>
      </c>
      <c r="G407" s="1" t="s">
        <v>6</v>
      </c>
      <c r="H407" s="24">
        <v>3.0329999999999999</v>
      </c>
      <c r="I407" s="24">
        <v>3.2320000000000002</v>
      </c>
      <c r="J407" s="24">
        <v>3.1579999999999999</v>
      </c>
      <c r="L407" s="24">
        <v>3.0339999999999998</v>
      </c>
      <c r="M407" s="24">
        <v>3.2320000000000002</v>
      </c>
      <c r="N407" s="24">
        <v>3.1579999999999999</v>
      </c>
    </row>
    <row r="408" spans="6:14" ht="18" x14ac:dyDescent="0.35">
      <c r="F408" s="25" t="s">
        <v>157</v>
      </c>
      <c r="G408" s="34"/>
      <c r="H408" s="26">
        <f>IF(H407&gt;H24/2,"Senza senso",H407/H24)</f>
        <v>1.9694805194805194E-3</v>
      </c>
      <c r="I408" s="26">
        <f>IF(I407&gt;I24/2,"Senza senso",I407/I24)</f>
        <v>2.1124183006535949E-3</v>
      </c>
      <c r="J408" s="26">
        <f>IF(J407&gt;J24/2,"Senza senso",J407/J24)</f>
        <v>2.0507825183453468E-3</v>
      </c>
      <c r="L408" s="26">
        <f>IF(L407&gt;H24/2,"Senza senso",L407/H24)</f>
        <v>1.9701298701298702E-3</v>
      </c>
      <c r="M408" s="26">
        <f>IF(M407&gt;I24/2,"Senza senso",M407/I24)</f>
        <v>2.1124183006535949E-3</v>
      </c>
      <c r="N408" s="26">
        <f>IF(N407&gt;J24/2,"Senza senso",N407/J24)</f>
        <v>2.0507825183453468E-3</v>
      </c>
    </row>
    <row r="409" spans="6:14" ht="18" x14ac:dyDescent="0.35">
      <c r="F409" t="s">
        <v>160</v>
      </c>
      <c r="G409" s="1" t="s">
        <v>6</v>
      </c>
      <c r="H409" s="24">
        <v>5.52</v>
      </c>
      <c r="I409" s="24">
        <v>5.851</v>
      </c>
      <c r="J409" s="24">
        <v>5.6559999999999997</v>
      </c>
      <c r="L409" s="24">
        <v>5.52</v>
      </c>
      <c r="M409" s="24">
        <v>5.851</v>
      </c>
      <c r="N409" s="24">
        <v>5.6559999999999997</v>
      </c>
    </row>
    <row r="410" spans="6:14" ht="18" x14ac:dyDescent="0.35">
      <c r="F410" s="25" t="s">
        <v>161</v>
      </c>
      <c r="G410" s="34"/>
      <c r="H410" s="26">
        <f>IF(H409&gt;H26/2,"Senza senso",H409/H26)</f>
        <v>3.0598669623059863E-3</v>
      </c>
      <c r="I410" s="26">
        <f>IF(I409&gt;I26/2,"Senza senso",I409/I26)</f>
        <v>3.2505555555555556E-3</v>
      </c>
      <c r="J410" s="26">
        <f>IF(J409&gt;J26/2,"Senza senso",J409/J26)</f>
        <v>3.1406518962740848E-3</v>
      </c>
      <c r="L410" s="26">
        <f>IF(L409&gt;H26/2,"Senza senso",L409/H26)</f>
        <v>3.0598669623059863E-3</v>
      </c>
      <c r="M410" s="26">
        <f>IF(M409&gt;I26/2,"Senza senso",M409/I26)</f>
        <v>3.2505555555555556E-3</v>
      </c>
      <c r="N410" s="26">
        <f>IF(N409&gt;J26/2,"Senza senso",N409/J26)</f>
        <v>3.1406518962740848E-3</v>
      </c>
    </row>
    <row r="411" spans="6:14" ht="18" x14ac:dyDescent="0.35">
      <c r="F411" t="s">
        <v>172</v>
      </c>
      <c r="G411" s="1" t="s">
        <v>6</v>
      </c>
      <c r="H411" s="24">
        <v>8.2240000000000002</v>
      </c>
      <c r="I411">
        <v>8.8219999999999992</v>
      </c>
      <c r="J411">
        <v>8.5609999999999999</v>
      </c>
      <c r="L411">
        <v>8.2240000000000002</v>
      </c>
      <c r="M411">
        <v>8.8219999999999992</v>
      </c>
      <c r="N411">
        <v>8.5609999999999999</v>
      </c>
    </row>
    <row r="412" spans="6:14" ht="18" x14ac:dyDescent="0.35">
      <c r="F412" s="25" t="s">
        <v>173</v>
      </c>
      <c r="G412" s="34"/>
      <c r="H412" s="26">
        <f>IF(H411&gt;H28/2,"Senza senso",H411/H28)</f>
        <v>4.1078921078921077E-3</v>
      </c>
      <c r="I412" s="26">
        <f>IF(I411&gt;I28/2,"Senza senso",I411/I28)</f>
        <v>4.3890547263681591E-3</v>
      </c>
      <c r="J412" s="26">
        <f>IF(J411&gt;J28/2,"Senza senso",J411/J28)</f>
        <v>4.259839777081156E-3</v>
      </c>
      <c r="L412" s="26">
        <f>IF(L411&gt;H28/2,"Senza senso",L411/H28)</f>
        <v>4.1078921078921077E-3</v>
      </c>
      <c r="M412" s="26">
        <f>IF(M411&gt;I28/2,"Senza senso",M411/I28)</f>
        <v>4.3890547263681591E-3</v>
      </c>
      <c r="N412" s="26">
        <f>IF(N411&gt;J28/2,"Senza senso",N411/J28)</f>
        <v>4.259839777081156E-3</v>
      </c>
    </row>
    <row r="413" spans="6:14" x14ac:dyDescent="0.25">
      <c r="H413" s="24"/>
    </row>
    <row r="414" spans="6:14" x14ac:dyDescent="0.25">
      <c r="F414" s="20" t="s">
        <v>96</v>
      </c>
      <c r="G414" s="1"/>
      <c r="H414" s="5" t="s">
        <v>2</v>
      </c>
      <c r="I414" s="5" t="s">
        <v>3</v>
      </c>
      <c r="J414" s="5" t="s">
        <v>147</v>
      </c>
      <c r="M414" s="5"/>
    </row>
    <row r="415" spans="6:14" ht="18" x14ac:dyDescent="0.35">
      <c r="F415" t="s">
        <v>13</v>
      </c>
      <c r="G415" s="1" t="s">
        <v>6</v>
      </c>
      <c r="H415" s="24">
        <f>$H$206*$H$205*H$14^4/H$195</f>
        <v>3.0478466938234925E-3</v>
      </c>
      <c r="I415" s="24">
        <f>$H$206*$H$205*I$14^4/I$195</f>
        <v>3.1322519004926604E-3</v>
      </c>
      <c r="J415" s="24">
        <f>$H$206*$H$205*J$14^4/J$195</f>
        <v>3.5576771109642538E-3</v>
      </c>
      <c r="M415" s="24"/>
    </row>
    <row r="416" spans="6:14" ht="18" x14ac:dyDescent="0.35">
      <c r="F416" s="25" t="s">
        <v>134</v>
      </c>
      <c r="G416" s="1"/>
      <c r="H416" s="26">
        <f>IF(H415&gt;H$14/2,"Senza senso",H415/H$14)</f>
        <v>9.8956061487775733E-6</v>
      </c>
      <c r="I416" s="26">
        <f>IF(I415&gt;I$14/2,"Senza senso",I415/I$14)</f>
        <v>1.0440839668308868E-5</v>
      </c>
      <c r="J416" s="26">
        <f>IF(J415&gt;J$14/2,"Senza senso",J415/J$14)</f>
        <v>1.135912232108638E-5</v>
      </c>
      <c r="M416" s="26"/>
    </row>
    <row r="417" spans="6:13" ht="18" x14ac:dyDescent="0.35">
      <c r="F417" t="s">
        <v>14</v>
      </c>
      <c r="G417" s="1" t="s">
        <v>6</v>
      </c>
      <c r="H417" s="24">
        <f>$H$206*$H$205*H$16^4/H$195</f>
        <v>4.2163439577578371E-2</v>
      </c>
      <c r="I417" s="24">
        <f>$H$206*$H$205*I$16^4/I$195</f>
        <v>5.0116030407882567E-2</v>
      </c>
      <c r="J417" s="24">
        <f>$H$206*$H$205*J$16^4/J$195</f>
        <v>4.8012341840728577E-2</v>
      </c>
      <c r="M417" s="24"/>
    </row>
    <row r="418" spans="6:13" ht="18" x14ac:dyDescent="0.35">
      <c r="F418" s="25" t="s">
        <v>135</v>
      </c>
      <c r="G418" s="1"/>
      <c r="H418" s="26">
        <f>IF(H417&gt;H$16/2,"Senza senso",H417/H$16)</f>
        <v>7.0982221511074693E-5</v>
      </c>
      <c r="I418" s="26">
        <f>IF(I417&gt;I$16/2,"Senza senso",I417/I$16)</f>
        <v>8.3526717346470947E-5</v>
      </c>
      <c r="J418" s="26">
        <f>IF(J417&gt;J$16/2,"Senza senso",J417/J$16)</f>
        <v>7.9980579444825228E-5</v>
      </c>
      <c r="M418" s="26"/>
    </row>
    <row r="419" spans="6:13" ht="18" x14ac:dyDescent="0.35">
      <c r="F419" t="s">
        <v>15</v>
      </c>
      <c r="G419" s="1" t="s">
        <v>6</v>
      </c>
      <c r="H419" s="24">
        <f>$H$206*$H$205*H$18^4/H$195</f>
        <v>0.14869209203308337</v>
      </c>
      <c r="I419" s="24">
        <f>$H$206*$H$205*I$18^4/I$195</f>
        <v>0.16646070822497203</v>
      </c>
      <c r="J419" s="24">
        <f>$H$206*$H$205*J$18^4/J$195</f>
        <v>0.15844856882691066</v>
      </c>
      <c r="M419" s="24"/>
    </row>
    <row r="420" spans="6:13" ht="18" x14ac:dyDescent="0.35">
      <c r="F420" s="25" t="s">
        <v>136</v>
      </c>
      <c r="G420" s="1"/>
      <c r="H420" s="26">
        <f>IF(H419&gt;H$18/2,"Senza senso",H419/H$18)</f>
        <v>1.8266841773106066E-4</v>
      </c>
      <c r="I420" s="26">
        <f>IF(I419&gt;I$18/2,"Senza senso",I419/I$18)</f>
        <v>2.0550704719132348E-4</v>
      </c>
      <c r="J420" s="26">
        <f>IF(J419&gt;J$18/2,"Senza senso",J419/J$18)</f>
        <v>1.9583310941405347E-4</v>
      </c>
      <c r="M420" s="26"/>
    </row>
    <row r="421" spans="6:13" ht="18" x14ac:dyDescent="0.35">
      <c r="F421" t="s">
        <v>16</v>
      </c>
      <c r="G421" s="1" t="s">
        <v>6</v>
      </c>
      <c r="H421" s="24">
        <f>$H$206*$H$205*H20^4/H$195</f>
        <v>0.325335181925759</v>
      </c>
      <c r="I421" s="24">
        <f>$H$206*$H$205*I$20^4/I$195</f>
        <v>0.37146033060841566</v>
      </c>
      <c r="J421" s="24">
        <f>$H$206*$H$205*J$20^4/J$195</f>
        <v>0.35774694350152197</v>
      </c>
      <c r="M421" s="24"/>
    </row>
    <row r="422" spans="6:13" ht="18" x14ac:dyDescent="0.35">
      <c r="F422" s="25" t="s">
        <v>137</v>
      </c>
      <c r="H422" s="26">
        <f>IF(H421&gt;H20/2,"Senza senso",H421/H20)</f>
        <v>3.2862139588460507E-4</v>
      </c>
      <c r="I422" s="26">
        <f>IF(I421&gt;I$20/2,"Senza senso",I421/I$20)</f>
        <v>3.7521245516001584E-4</v>
      </c>
      <c r="J422" s="26">
        <f>IF(J421&gt;J$20/2,"Senza senso",J421/J$20)</f>
        <v>3.6070472222375681E-4</v>
      </c>
      <c r="M422" s="26"/>
    </row>
    <row r="423" spans="6:13" ht="18" x14ac:dyDescent="0.35">
      <c r="F423" t="s">
        <v>158</v>
      </c>
      <c r="G423" s="1" t="s">
        <v>6</v>
      </c>
      <c r="H423" s="24">
        <f>$H$206*$H$205*H22^4/H$195</f>
        <v>0.78024875361881407</v>
      </c>
      <c r="I423" s="24">
        <f>$H$206*$H$205*I22^4/I$195</f>
        <v>0.88509952625880417</v>
      </c>
      <c r="J423" s="24">
        <f>$H$206*$H$205*J22^4/J$195</f>
        <v>0.83720724356226695</v>
      </c>
    </row>
    <row r="424" spans="6:13" ht="18" x14ac:dyDescent="0.35">
      <c r="F424" s="25" t="s">
        <v>156</v>
      </c>
      <c r="G424" s="34"/>
      <c r="H424" s="26">
        <f>IF(H423&gt;H22/2,"Senza senso",H423/H22)</f>
        <v>6.3331879352176469E-4</v>
      </c>
      <c r="I424" s="26">
        <f>IF(I423&gt;I22/2,"Senza senso",I423/I22)</f>
        <v>7.1959311077951559E-4</v>
      </c>
      <c r="J424" s="26">
        <f>IF(J423&gt;J22/2,"Senza senso",J423/J22)</f>
        <v>6.8248735922578211E-4</v>
      </c>
    </row>
    <row r="425" spans="6:13" ht="18" x14ac:dyDescent="0.35">
      <c r="F425" t="s">
        <v>159</v>
      </c>
      <c r="G425" s="1" t="s">
        <v>6</v>
      </c>
      <c r="H425" s="24">
        <f>$H$206*$H$205*H24^4/H$195</f>
        <v>1.9049041836396827</v>
      </c>
      <c r="I425" s="24">
        <f>$H$206*$H$205*I24^4/I$195</f>
        <v>2.119031368946485</v>
      </c>
      <c r="J425" s="24">
        <f>$H$206*$H$205*J24^4/J$195</f>
        <v>2.0789765564713991</v>
      </c>
    </row>
    <row r="426" spans="6:13" ht="18" x14ac:dyDescent="0.35">
      <c r="F426" s="25" t="s">
        <v>157</v>
      </c>
      <c r="G426" s="34"/>
      <c r="H426" s="26">
        <f>IF(H425&gt;H24/2,"Senza senso",H425/H24)</f>
        <v>1.2369507685971966E-3</v>
      </c>
      <c r="I426" s="26">
        <f>IF(I425&gt;I24/2,"Senza senso",I425/I24)</f>
        <v>1.3849878228408398E-3</v>
      </c>
      <c r="J426" s="26">
        <f>IF(J425&gt;J24/2,"Senza senso",J425/J24)</f>
        <v>1.3500724439712963E-3</v>
      </c>
    </row>
    <row r="427" spans="6:13" ht="18" x14ac:dyDescent="0.35">
      <c r="F427" t="s">
        <v>160</v>
      </c>
      <c r="G427" s="1" t="s">
        <v>6</v>
      </c>
      <c r="H427" s="24">
        <f>$H$206*$H$205*H26^4/H$195</f>
        <v>3.5870413666744545</v>
      </c>
      <c r="I427" s="24">
        <f>$H$206*$H$205*I26^4/I$195</f>
        <v>4.0593984630384883</v>
      </c>
      <c r="J427" s="24">
        <f>$H$206*$H$205*J26^4/J$195</f>
        <v>3.8889996890990162</v>
      </c>
    </row>
    <row r="428" spans="6:13" ht="18" x14ac:dyDescent="0.35">
      <c r="F428" s="25" t="s">
        <v>161</v>
      </c>
      <c r="G428" s="34"/>
      <c r="H428" s="26">
        <f>IF(H427&gt;H26/2,"Senza senso",H427/H26)</f>
        <v>1.9883821323029129E-3</v>
      </c>
      <c r="I428" s="26">
        <f>IF(I427&gt;I26/2,"Senza senso",I427/I26)</f>
        <v>2.2552213683547156E-3</v>
      </c>
      <c r="J428" s="26">
        <f>IF(J427&gt;J26/2,"Senza senso",J427/J26)</f>
        <v>2.1594756450102814E-3</v>
      </c>
    </row>
    <row r="429" spans="6:13" ht="18" x14ac:dyDescent="0.35">
      <c r="F429" t="s">
        <v>172</v>
      </c>
      <c r="G429" s="1" t="s">
        <v>6</v>
      </c>
      <c r="H429" s="24">
        <f>$H$206*$H$205*H28^4/H$195</f>
        <v>5.4405968388932981</v>
      </c>
      <c r="I429" s="24">
        <f>$H$206*$H$205*I28^4/I$195</f>
        <v>6.3118387049307563</v>
      </c>
      <c r="J429" s="24">
        <f>$H$206*$H$205*J28^4/J$195</f>
        <v>6.0312099414780089</v>
      </c>
    </row>
    <row r="430" spans="6:13" ht="18" x14ac:dyDescent="0.35">
      <c r="F430" s="25" t="s">
        <v>173</v>
      </c>
      <c r="G430" s="34"/>
      <c r="H430" s="26">
        <f>IF(H429&gt;H28/2,"Senza senso",H429/H28)</f>
        <v>2.7175808386080409E-3</v>
      </c>
      <c r="I430" s="26">
        <f>IF(I429&gt;I28/2,"Senza senso",I429/I28)</f>
        <v>3.1402182611595802E-3</v>
      </c>
      <c r="J430" s="26">
        <f>IF(J429&gt;J28/2,"Senza senso",J429/J28)</f>
        <v>3.001049878826695E-3</v>
      </c>
    </row>
    <row r="431" spans="6:13" x14ac:dyDescent="0.25">
      <c r="H431" s="26"/>
      <c r="I431" s="24"/>
    </row>
    <row r="432" spans="6:13" ht="18" x14ac:dyDescent="0.35">
      <c r="G432" s="24"/>
      <c r="H432" s="10" t="s">
        <v>150</v>
      </c>
      <c r="I432" s="28" t="s">
        <v>92</v>
      </c>
      <c r="J432" s="24"/>
    </row>
    <row r="433" spans="6:10" x14ac:dyDescent="0.25">
      <c r="F433" s="20" t="s">
        <v>95</v>
      </c>
      <c r="G433" s="1"/>
      <c r="H433" s="5" t="s">
        <v>2</v>
      </c>
      <c r="I433" s="5" t="s">
        <v>3</v>
      </c>
      <c r="J433" s="5" t="s">
        <v>147</v>
      </c>
    </row>
    <row r="434" spans="6:10" ht="18" x14ac:dyDescent="0.35">
      <c r="F434" t="s">
        <v>13</v>
      </c>
      <c r="G434" s="1" t="s">
        <v>6</v>
      </c>
      <c r="H434" s="24">
        <f>$H$206*$H$205*H$14^4/H$197</f>
        <v>3.7043594422647031E-3</v>
      </c>
      <c r="I434" s="24">
        <f t="shared" ref="I434" si="26">$H$206*$H$205*I$14^4/I$197</f>
        <v>3.3415071501203875E-3</v>
      </c>
      <c r="J434" s="24">
        <f>$H$206*$H$205*J$14^4/J$197</f>
        <v>3.9667744158520665E-3</v>
      </c>
    </row>
    <row r="435" spans="6:10" ht="18" x14ac:dyDescent="0.35">
      <c r="F435" s="25" t="s">
        <v>134</v>
      </c>
      <c r="G435" s="1"/>
      <c r="H435" s="26">
        <f>IF(H434&gt;H$14/2,"Senza senso",H434/H$14)</f>
        <v>1.2027141046313972E-5</v>
      </c>
      <c r="I435" s="26">
        <f t="shared" ref="I435:J435" si="27">IF(I434&gt;I$14/2,"Senza senso",I434/I$14)</f>
        <v>1.1138357167067959E-5</v>
      </c>
      <c r="J435" s="26">
        <f t="shared" si="27"/>
        <v>1.2665307841162409E-5</v>
      </c>
    </row>
    <row r="436" spans="6:10" ht="18" x14ac:dyDescent="0.35">
      <c r="F436" t="s">
        <v>14</v>
      </c>
      <c r="G436" s="1" t="s">
        <v>6</v>
      </c>
      <c r="H436" s="24">
        <f>$H$206*$H$205*H$16^4/H$197</f>
        <v>5.1245535359136715E-2</v>
      </c>
      <c r="I436" s="24">
        <f t="shared" ref="I436:J436" si="28">$H$206*$H$205*I$16^4/I$197</f>
        <v>5.3464114401926201E-2</v>
      </c>
      <c r="J436" s="24">
        <f t="shared" si="28"/>
        <v>5.3533281216553735E-2</v>
      </c>
    </row>
    <row r="437" spans="6:10" ht="18" x14ac:dyDescent="0.35">
      <c r="F437" s="25" t="s">
        <v>135</v>
      </c>
      <c r="G437" s="1"/>
      <c r="H437" s="26">
        <f>IF(H436&gt;H$16/2,"Senza senso",H436/H$16)</f>
        <v>8.6271945049051711E-5</v>
      </c>
      <c r="I437" s="26">
        <f t="shared" ref="I437:J437" si="29">IF(I436&gt;I$16/2,"Senza senso",I436/I$16)</f>
        <v>8.9106857336543674E-5</v>
      </c>
      <c r="J437" s="26">
        <f t="shared" si="29"/>
        <v>8.9177546587629084E-5</v>
      </c>
    </row>
    <row r="438" spans="6:10" ht="18" x14ac:dyDescent="0.35">
      <c r="F438" t="s">
        <v>15</v>
      </c>
      <c r="G438" s="1" t="s">
        <v>6</v>
      </c>
      <c r="H438" s="24">
        <f>$H$206*$H$205*H$18^4/H$197</f>
        <v>0.18072068920955484</v>
      </c>
      <c r="I438" s="24">
        <f t="shared" ref="I438:J438" si="30">$H$206*$H$205*I$18^4/I$197</f>
        <v>0.1775813901367129</v>
      </c>
      <c r="J438" s="24">
        <f t="shared" si="30"/>
        <v>0.17666857037529501</v>
      </c>
    </row>
    <row r="439" spans="6:10" ht="18" x14ac:dyDescent="0.35">
      <c r="F439" s="25" t="s">
        <v>136</v>
      </c>
      <c r="G439" s="1"/>
      <c r="H439" s="26">
        <f>IF(H438&gt;H$18/2,"Senza senso",H438/H$18)</f>
        <v>2.2201558870952681E-4</v>
      </c>
      <c r="I439" s="26">
        <f t="shared" ref="I439:J439" si="31">IF(I438&gt;I$18/2,"Senza senso",I438/I$18)</f>
        <v>2.1923628411939865E-4</v>
      </c>
      <c r="J439" s="26">
        <f t="shared" si="31"/>
        <v>2.1835195943059575E-4</v>
      </c>
    </row>
    <row r="440" spans="6:10" ht="18" x14ac:dyDescent="0.35">
      <c r="F440" t="s">
        <v>16</v>
      </c>
      <c r="G440" s="1" t="s">
        <v>6</v>
      </c>
      <c r="H440" s="24">
        <f>$H$206*$H$205*H20^4/H$197</f>
        <v>0.39541308147482035</v>
      </c>
      <c r="I440" s="24">
        <f t="shared" ref="I440:J440" si="32">$H$206*$H$205*I$20^4/I$197</f>
        <v>0.39627635009779205</v>
      </c>
      <c r="J440" s="24">
        <f t="shared" si="32"/>
        <v>0.3988842659322972</v>
      </c>
    </row>
    <row r="441" spans="6:10" ht="18" x14ac:dyDescent="0.35">
      <c r="F441" s="25" t="s">
        <v>137</v>
      </c>
      <c r="H441" s="26">
        <f>IF(H440&gt;H20/2,"Senza senso",H440/H20)</f>
        <v>3.9940715300486903E-4</v>
      </c>
      <c r="I441" s="26">
        <f t="shared" ref="I441:J441" si="33">IF(I440&gt;I$20/2,"Senza senso",I440/I$20)</f>
        <v>4.0027914151292125E-4</v>
      </c>
      <c r="J441" s="26">
        <f t="shared" si="33"/>
        <v>4.0218215964135635E-4</v>
      </c>
    </row>
    <row r="442" spans="6:10" ht="18" x14ac:dyDescent="0.35">
      <c r="F442" t="s">
        <v>158</v>
      </c>
      <c r="G442" s="1" t="s">
        <v>6</v>
      </c>
      <c r="H442" s="24">
        <f>$H$206*$H$205*H22^4/H$197</f>
        <v>0.948316017219764</v>
      </c>
      <c r="I442" s="24">
        <f>$H$206*$H$205*I22^4/I$197</f>
        <v>0.94423005860313369</v>
      </c>
      <c r="J442" s="24">
        <f>$H$206*$H$205*J22^4/J$197</f>
        <v>0.93347770777003458</v>
      </c>
    </row>
    <row r="443" spans="6:10" ht="18" x14ac:dyDescent="0.35">
      <c r="F443" s="25" t="s">
        <v>156</v>
      </c>
      <c r="G443" s="34"/>
      <c r="H443" s="26">
        <f>IF(H442&gt;H22/2,"Senza senso",H442/H22)</f>
        <v>7.697370269640942E-4</v>
      </c>
      <c r="I443" s="26">
        <f>IF(I442&gt;I22/2,"Senza senso",I442/I22)</f>
        <v>7.6766671431149078E-4</v>
      </c>
      <c r="J443" s="26">
        <f>IF(J442&gt;J22/2,"Senza senso",J442/J22)</f>
        <v>7.6096658332928556E-4</v>
      </c>
    </row>
    <row r="444" spans="6:10" ht="18" x14ac:dyDescent="0.35">
      <c r="F444" t="s">
        <v>159</v>
      </c>
      <c r="G444" s="1" t="s">
        <v>6</v>
      </c>
      <c r="H444" s="24">
        <f>$H$206*$H$205*H24^4/H$197</f>
        <v>2.3152246514154395</v>
      </c>
      <c r="I444" s="24">
        <f>$H$206*$H$205*I24^4/I$197</f>
        <v>2.2605967513501595</v>
      </c>
      <c r="J444" s="24">
        <f>$H$206*$H$205*J24^4/J$197</f>
        <v>2.3180380788215484</v>
      </c>
    </row>
    <row r="445" spans="6:10" ht="18" x14ac:dyDescent="0.35">
      <c r="F445" s="25" t="s">
        <v>157</v>
      </c>
      <c r="G445" s="34"/>
      <c r="H445" s="26">
        <f>IF(H444&gt;H24/2,"Senza senso",H444/H24)</f>
        <v>1.5033926307892465E-3</v>
      </c>
      <c r="I445" s="26">
        <f>IF(I444&gt;I24/2,"Senza senso",I444/I24)</f>
        <v>1.4775142165687318E-3</v>
      </c>
      <c r="J445" s="26">
        <f>IF(J444&gt;J24/2,"Senza senso",J444/J24)</f>
        <v>1.5053172795776012E-3</v>
      </c>
    </row>
    <row r="446" spans="6:10" ht="18" x14ac:dyDescent="0.35">
      <c r="F446" t="s">
        <v>160</v>
      </c>
      <c r="G446" s="1" t="s">
        <v>6</v>
      </c>
      <c r="H446" s="24">
        <f>$H$206*$H$205*H26^4/H$197</f>
        <v>4.3596978100513741</v>
      </c>
      <c r="I446" s="24">
        <f t="shared" ref="I446:J446" si="34">$H$206*$H$205*I26^4/I$197</f>
        <v>4.3305932665560221</v>
      </c>
      <c r="J446" s="24">
        <f t="shared" si="34"/>
        <v>4.336195778540854</v>
      </c>
    </row>
    <row r="447" spans="6:10" ht="18" x14ac:dyDescent="0.35">
      <c r="F447" s="25" t="s">
        <v>161</v>
      </c>
      <c r="G447" s="34"/>
      <c r="H447" s="26">
        <f>IF(H446&gt;H26/2,"Senza senso",H446/H26)</f>
        <v>2.4166839301836885E-3</v>
      </c>
      <c r="I447" s="26">
        <f t="shared" ref="I447:J447" si="35">IF(I446&gt;I26/2,"Senza senso",I446/I26)</f>
        <v>2.4058851480866787E-3</v>
      </c>
      <c r="J447" s="26">
        <f t="shared" si="35"/>
        <v>2.4077937578659858E-3</v>
      </c>
    </row>
    <row r="448" spans="6:10" ht="18" x14ac:dyDescent="0.35">
      <c r="F448" t="s">
        <v>172</v>
      </c>
      <c r="G448" s="1" t="s">
        <v>6</v>
      </c>
      <c r="H448" s="24">
        <f>$H$206*$H$205*H28^4/H$197</f>
        <v>6.6125131269076363</v>
      </c>
      <c r="I448" s="24">
        <f>$H$206*$H$205*I28^4/I$197</f>
        <v>6.7335114904441093</v>
      </c>
      <c r="J448" s="24">
        <f>$H$206*$H$205*J28^4/J$197</f>
        <v>6.724738796209432</v>
      </c>
    </row>
    <row r="449" spans="6:14" ht="18" x14ac:dyDescent="0.35">
      <c r="F449" s="25" t="s">
        <v>173</v>
      </c>
      <c r="G449" s="34"/>
      <c r="H449" s="26">
        <f>IF(H448&gt;H28/2,"Senza senso",H448/H28)</f>
        <v>3.3029536098439743E-3</v>
      </c>
      <c r="I449" s="26">
        <f>IF(I448&gt;I28/2,"Senza senso",I448/I28)</f>
        <v>3.3500057166388603E-3</v>
      </c>
      <c r="J449" s="26">
        <f>IF(J448&gt;J28/2,"Senza senso",J448/J28)</f>
        <v>3.3461406161165506E-3</v>
      </c>
    </row>
    <row r="450" spans="6:14" x14ac:dyDescent="0.25">
      <c r="H450" s="26"/>
      <c r="I450" s="24"/>
    </row>
    <row r="451" spans="6:14" x14ac:dyDescent="0.25">
      <c r="G451" s="34"/>
      <c r="H451" s="37" t="s">
        <v>105</v>
      </c>
      <c r="I451" s="35"/>
      <c r="K451" s="36"/>
      <c r="L451" s="37" t="s">
        <v>106</v>
      </c>
      <c r="M451" s="35"/>
    </row>
    <row r="452" spans="6:14" x14ac:dyDescent="0.25">
      <c r="G452" s="38" t="s">
        <v>104</v>
      </c>
      <c r="H452" s="5" t="s">
        <v>2</v>
      </c>
      <c r="I452" s="5" t="s">
        <v>3</v>
      </c>
      <c r="J452" s="5" t="s">
        <v>147</v>
      </c>
      <c r="K452" s="39"/>
      <c r="L452" s="5" t="s">
        <v>2</v>
      </c>
      <c r="M452" s="5" t="s">
        <v>3</v>
      </c>
      <c r="N452" s="5" t="s">
        <v>147</v>
      </c>
    </row>
    <row r="453" spans="6:14" ht="18" x14ac:dyDescent="0.35">
      <c r="F453" t="s">
        <v>13</v>
      </c>
      <c r="G453" s="1" t="s">
        <v>6</v>
      </c>
      <c r="H453" s="24">
        <v>1.2999999999999999E-2</v>
      </c>
      <c r="I453" s="24">
        <v>1.7999999999999999E-2</v>
      </c>
      <c r="J453" s="24">
        <v>1.7000000000000001E-2</v>
      </c>
      <c r="K453" s="24"/>
      <c r="L453" s="24">
        <v>1.2999999999999999E-2</v>
      </c>
      <c r="M453" s="24">
        <v>1.7999999999999999E-2</v>
      </c>
      <c r="N453" s="24">
        <v>1.7000000000000001E-2</v>
      </c>
    </row>
    <row r="454" spans="6:14" ht="18" x14ac:dyDescent="0.35">
      <c r="F454" s="25" t="s">
        <v>134</v>
      </c>
      <c r="G454" s="1"/>
      <c r="H454" s="26">
        <f>IF(H453&gt;H$14/2,"Senza senso",H453/H$14)</f>
        <v>4.2207792207792209E-5</v>
      </c>
      <c r="I454" s="26">
        <f>IF(I453&gt;I$14/2,"Senza senso",I453/I$14)</f>
        <v>5.9999999999999995E-5</v>
      </c>
      <c r="J454" s="26">
        <f>IF(J453&gt;J$14/2,"Senza senso",J453/J$14)</f>
        <v>5.4278416347381868E-5</v>
      </c>
      <c r="K454" s="24"/>
      <c r="L454" s="26">
        <f>IF(L453&gt;H$14/2,"Senza senso",L453/H$14)</f>
        <v>4.2207792207792209E-5</v>
      </c>
      <c r="M454" s="26">
        <f>IF(M453&gt;I$14/2,"Senza senso",M453/I$14)</f>
        <v>5.9999999999999995E-5</v>
      </c>
      <c r="N454" s="26">
        <f>IF(N453&gt;J$14/2,"Senza senso",N453/J$14)</f>
        <v>5.4278416347381868E-5</v>
      </c>
    </row>
    <row r="455" spans="6:14" ht="18" x14ac:dyDescent="0.35">
      <c r="F455" t="s">
        <v>14</v>
      </c>
      <c r="G455" s="1" t="s">
        <v>6</v>
      </c>
      <c r="H455" s="24">
        <v>9.5000000000000001E-2</v>
      </c>
      <c r="I455" s="24">
        <v>0.124</v>
      </c>
      <c r="J455" s="24">
        <v>0.11</v>
      </c>
      <c r="K455" s="24"/>
      <c r="L455" s="24">
        <v>9.5000000000000001E-2</v>
      </c>
      <c r="M455" s="24">
        <v>0.124</v>
      </c>
      <c r="N455" s="24">
        <v>0.11</v>
      </c>
    </row>
    <row r="456" spans="6:14" ht="18" x14ac:dyDescent="0.35">
      <c r="F456" s="25" t="s">
        <v>135</v>
      </c>
      <c r="G456" s="1"/>
      <c r="H456" s="26">
        <f>IF(H455&gt;H$16/2,"Senza senso",H455/H$16)</f>
        <v>1.5993265993265992E-4</v>
      </c>
      <c r="I456" s="26">
        <f>IF(I455&gt;I$16/2,"Senza senso",I455/I$16)</f>
        <v>2.0666666666666666E-4</v>
      </c>
      <c r="J456" s="26">
        <f>IF(J455&gt;J$16/2,"Senza senso",J455/J$16)</f>
        <v>1.8324171247709479E-4</v>
      </c>
      <c r="K456" s="24"/>
      <c r="L456" s="26">
        <f>IF(L455&gt;H$16/2,"Senza senso",L455/H$16)</f>
        <v>1.5993265993265992E-4</v>
      </c>
      <c r="M456" s="26">
        <f>IF(M455&gt;I$16/2,"Senza senso",M455/I$16)</f>
        <v>2.0666666666666666E-4</v>
      </c>
      <c r="N456" s="26">
        <f>IF(N455&gt;J$16/2,"Senza senso",N455/J$16)</f>
        <v>1.8324171247709479E-4</v>
      </c>
    </row>
    <row r="457" spans="6:14" ht="18" x14ac:dyDescent="0.35">
      <c r="F457" t="s">
        <v>15</v>
      </c>
      <c r="G457" s="1" t="s">
        <v>6</v>
      </c>
      <c r="H457" s="24">
        <v>0.27700000000000002</v>
      </c>
      <c r="I457" s="24">
        <v>0.32100000000000001</v>
      </c>
      <c r="J457" s="24">
        <v>0.29299999999999998</v>
      </c>
      <c r="K457" s="24"/>
      <c r="L457" s="24">
        <v>0.27700000000000002</v>
      </c>
      <c r="M457" s="24">
        <v>0.32100000000000001</v>
      </c>
      <c r="N457" s="24">
        <v>0.29399999999999998</v>
      </c>
    </row>
    <row r="458" spans="6:14" ht="18" x14ac:dyDescent="0.35">
      <c r="F458" s="25" t="s">
        <v>136</v>
      </c>
      <c r="G458" s="1"/>
      <c r="H458" s="26">
        <f>IF(H457&gt;H$18/2,"Senza senso",H457/H$18)</f>
        <v>3.4029484029484032E-4</v>
      </c>
      <c r="I458" s="26">
        <f>IF(I457&gt;I$18/2,"Senza senso",I457/I$18)</f>
        <v>3.9629629629629628E-4</v>
      </c>
      <c r="J458" s="26">
        <f>IF(J457&gt;J$18/2,"Senza senso",J457/J$18)</f>
        <v>3.6213076257570137E-4</v>
      </c>
      <c r="K458" s="24"/>
      <c r="L458" s="26">
        <f>IF(L457&gt;H$18/2,"Senza senso",L457/H$18)</f>
        <v>3.4029484029484032E-4</v>
      </c>
      <c r="M458" s="26">
        <f>IF(M457&gt;I$18/2,"Senza senso",M457/I$18)</f>
        <v>3.9629629629629628E-4</v>
      </c>
      <c r="N458" s="26">
        <f>IF(N457&gt;J$18/2,"Senza senso",N457/J$18)</f>
        <v>3.6336670374490171E-4</v>
      </c>
    </row>
    <row r="459" spans="6:14" ht="18" x14ac:dyDescent="0.35">
      <c r="F459" t="s">
        <v>16</v>
      </c>
      <c r="G459" s="1" t="s">
        <v>6</v>
      </c>
      <c r="H459" s="24">
        <v>0.55800000000000005</v>
      </c>
      <c r="I459" s="24">
        <v>0.63200000000000001</v>
      </c>
      <c r="J459" s="24">
        <v>0.59599999999999997</v>
      </c>
      <c r="K459" s="24"/>
      <c r="L459" s="24">
        <v>0.55800000000000005</v>
      </c>
      <c r="M459" s="24">
        <v>0.63300000000000001</v>
      </c>
      <c r="N459" s="24">
        <v>0.59599999999999997</v>
      </c>
    </row>
    <row r="460" spans="6:14" ht="18" x14ac:dyDescent="0.35">
      <c r="F460" s="25" t="s">
        <v>137</v>
      </c>
      <c r="H460" s="26">
        <f>IF(H459&gt;H20/2,"Senza senso",H459/H20)</f>
        <v>5.6363636363636371E-4</v>
      </c>
      <c r="I460" s="26">
        <f>IF(I459&gt;I$20/2,"Senza senso",I459/I$20)</f>
        <v>6.3838383838383844E-4</v>
      </c>
      <c r="J460" s="26">
        <f>IF(J459&gt;J$20/2,"Senza senso",J459/J$20)</f>
        <v>6.0092760637225245E-4</v>
      </c>
      <c r="L460" s="26">
        <f>IF(L459&gt;H20/2,"Senza senso",L459/H20)</f>
        <v>5.6363636363636371E-4</v>
      </c>
      <c r="M460" s="26">
        <f>IF(M459&gt;I$20/2,"Senza senso",M459/I$20)</f>
        <v>6.3939393939393941E-4</v>
      </c>
      <c r="N460" s="26">
        <f>IF(N459&gt;J$20/2,"Senza senso",N459/J$20)</f>
        <v>6.0092760637225245E-4</v>
      </c>
    </row>
    <row r="461" spans="6:14" ht="18" x14ac:dyDescent="0.35">
      <c r="F461" t="s">
        <v>158</v>
      </c>
      <c r="G461" s="1" t="s">
        <v>6</v>
      </c>
      <c r="H461" s="24">
        <v>1.2569999999999999</v>
      </c>
      <c r="I461" s="24">
        <v>1.3620000000000001</v>
      </c>
      <c r="J461" s="24">
        <v>1.286</v>
      </c>
      <c r="L461" s="24">
        <v>1.2569999999999999</v>
      </c>
      <c r="M461" s="24">
        <v>1.3620000000000001</v>
      </c>
      <c r="N461" s="24">
        <v>1.286</v>
      </c>
    </row>
    <row r="462" spans="6:14" ht="18" x14ac:dyDescent="0.35">
      <c r="F462" s="25" t="s">
        <v>156</v>
      </c>
      <c r="G462" s="34"/>
      <c r="H462" s="26">
        <f>IF(H461&gt;H22/2,"Senza senso",H461/H22)</f>
        <v>1.0202922077922076E-3</v>
      </c>
      <c r="I462" s="26">
        <f>IF(I461&gt;I22/2,"Senza senso",I461/I22)</f>
        <v>1.1073170731707319E-3</v>
      </c>
      <c r="J462" s="26">
        <f>IF(J461&gt;J22/2,"Senza senso",J461/J22)</f>
        <v>1.0483410776881063E-3</v>
      </c>
      <c r="L462" s="26">
        <f>IF(L461&gt;H22/2,"Senza senso",L461/H22)</f>
        <v>1.0202922077922076E-3</v>
      </c>
      <c r="M462" s="26">
        <f>IF(M461&gt;I22/2,"Senza senso",M461/I22)</f>
        <v>1.1073170731707319E-3</v>
      </c>
      <c r="N462" s="26">
        <f>IF(N461&gt;J22/2,"Senza senso",N461/J22)</f>
        <v>1.0483410776881063E-3</v>
      </c>
    </row>
    <row r="463" spans="6:14" ht="18" x14ac:dyDescent="0.35">
      <c r="F463" t="s">
        <v>159</v>
      </c>
      <c r="G463" s="1" t="s">
        <v>6</v>
      </c>
      <c r="H463" s="24">
        <v>2.9220000000000002</v>
      </c>
      <c r="I463" s="24">
        <v>3.0390000000000001</v>
      </c>
      <c r="J463" s="24">
        <v>3.008</v>
      </c>
      <c r="L463" s="24">
        <v>2.9220000000000002</v>
      </c>
      <c r="M463" s="24">
        <v>3.0390000000000001</v>
      </c>
      <c r="N463" s="24">
        <v>3.0089999999999999</v>
      </c>
    </row>
    <row r="464" spans="6:14" ht="18" x14ac:dyDescent="0.35">
      <c r="F464" s="25" t="s">
        <v>157</v>
      </c>
      <c r="G464" s="34"/>
      <c r="H464" s="26">
        <f>IF(H463&gt;H24/2,"Senza senso",H463/H24)</f>
        <v>1.8974025974025975E-3</v>
      </c>
      <c r="I464" s="26">
        <f>IF(I463&gt;I24/2,"Senza senso",I463/I24)</f>
        <v>1.9862745098039218E-3</v>
      </c>
      <c r="J464" s="26">
        <f>IF(J463&gt;J24/2,"Senza senso",J463/J24)</f>
        <v>1.9533735956880315E-3</v>
      </c>
      <c r="L464" s="26">
        <f>IF(L463&gt;H24/2,"Senza senso",L463/H24)</f>
        <v>1.8974025974025975E-3</v>
      </c>
      <c r="M464" s="26">
        <f>IF(M463&gt;I24/2,"Senza senso",M463/I24)</f>
        <v>1.9862745098039218E-3</v>
      </c>
      <c r="N464" s="26">
        <f>IF(N463&gt;J24/2,"Senza senso",N463/J24)</f>
        <v>1.954022988505747E-3</v>
      </c>
    </row>
    <row r="465" spans="6:14" ht="18" x14ac:dyDescent="0.35">
      <c r="F465" t="s">
        <v>160</v>
      </c>
      <c r="G465" s="1" t="s">
        <v>6</v>
      </c>
      <c r="H465">
        <v>5.3659999999999997</v>
      </c>
      <c r="I465">
        <v>5.5819999999999999</v>
      </c>
      <c r="J465" s="24">
        <v>5.45</v>
      </c>
      <c r="L465">
        <v>5.3659999999999997</v>
      </c>
      <c r="M465">
        <v>5.5819999999999999</v>
      </c>
      <c r="N465">
        <v>5.4509999999999996</v>
      </c>
    </row>
    <row r="466" spans="6:14" ht="18" x14ac:dyDescent="0.35">
      <c r="F466" s="25" t="s">
        <v>161</v>
      </c>
      <c r="G466" s="34"/>
      <c r="H466" s="26">
        <f>IF(H465&gt;H26/2,"Senza senso",H465/H26)</f>
        <v>2.97450110864745E-3</v>
      </c>
      <c r="I466" s="26">
        <f t="shared" ref="I466:J466" si="36">IF(I465&gt;I26/2,"Senza senso",I465/I26)</f>
        <v>3.1011111111111109E-3</v>
      </c>
      <c r="J466" s="26">
        <f t="shared" si="36"/>
        <v>3.0262646454550504E-3</v>
      </c>
      <c r="L466" s="26">
        <f>IF(L465&gt;H26/2,"Senza senso",L465/H26)</f>
        <v>2.97450110864745E-3</v>
      </c>
      <c r="M466" s="26">
        <f t="shared" ref="M466:N466" si="37">IF(M465&gt;I26/2,"Senza senso",M465/I26)</f>
        <v>3.1011111111111109E-3</v>
      </c>
      <c r="N466" s="26">
        <f t="shared" si="37"/>
        <v>3.026819923371647E-3</v>
      </c>
    </row>
    <row r="467" spans="6:14" ht="18" x14ac:dyDescent="0.35">
      <c r="F467" t="s">
        <v>172</v>
      </c>
      <c r="G467" s="1" t="s">
        <v>6</v>
      </c>
      <c r="H467" s="24">
        <v>8.0340000000000007</v>
      </c>
      <c r="I467">
        <v>8.4870000000000001</v>
      </c>
      <c r="J467">
        <v>8.3040000000000003</v>
      </c>
      <c r="L467">
        <v>8.0340000000000007</v>
      </c>
      <c r="M467">
        <v>8.4870000000000001</v>
      </c>
      <c r="N467">
        <v>8.3040000000000003</v>
      </c>
    </row>
    <row r="468" spans="6:14" ht="18" x14ac:dyDescent="0.35">
      <c r="F468" s="25" t="s">
        <v>173</v>
      </c>
      <c r="G468" s="34"/>
      <c r="H468" s="26">
        <f>IF(H467&gt;H28/2,"Senza senso",H467/H28)</f>
        <v>4.0129870129870134E-3</v>
      </c>
      <c r="I468" s="26">
        <f>IF(I467&gt;I28/2,"Senza senso",I467/I28)</f>
        <v>4.2223880597014925E-3</v>
      </c>
      <c r="J468" s="26">
        <f>IF(J467&gt;J28/2,"Senza senso",J467/J28)</f>
        <v>4.13195999402896E-3</v>
      </c>
      <c r="L468" s="26">
        <f>IF(L467&gt;H28/2,"Senza senso",L467/H28)</f>
        <v>4.0129870129870134E-3</v>
      </c>
      <c r="M468" s="26">
        <f>IF(M467&gt;I28/2,"Senza senso",M467/I28)</f>
        <v>4.2223880597014925E-3</v>
      </c>
      <c r="N468" s="26">
        <f>IF(N467&gt;J28/2,"Senza senso",N467/J28)</f>
        <v>4.13195999402896E-3</v>
      </c>
    </row>
    <row r="469" spans="6:14" x14ac:dyDescent="0.25">
      <c r="H469" s="24"/>
    </row>
    <row r="470" spans="6:14" x14ac:dyDescent="0.25">
      <c r="F470" s="20" t="s">
        <v>96</v>
      </c>
      <c r="G470" s="1"/>
      <c r="H470" s="5" t="s">
        <v>2</v>
      </c>
      <c r="I470" s="5" t="s">
        <v>3</v>
      </c>
      <c r="J470" s="5" t="s">
        <v>147</v>
      </c>
    </row>
    <row r="471" spans="6:14" ht="18" x14ac:dyDescent="0.35">
      <c r="F471" t="s">
        <v>13</v>
      </c>
      <c r="G471" s="1" t="s">
        <v>6</v>
      </c>
      <c r="H471" s="24">
        <f>$H$206*$H$205*H$14^4/H$198</f>
        <v>2.7678753300308433E-3</v>
      </c>
      <c r="I471" s="24">
        <f t="shared" ref="I471:J471" si="38">$H$206*$H$205*I$14^4/I$198</f>
        <v>3.0241641753883247E-3</v>
      </c>
      <c r="J471" s="24">
        <f t="shared" si="38"/>
        <v>3.3599101140943726E-3</v>
      </c>
    </row>
    <row r="472" spans="6:14" ht="18" x14ac:dyDescent="0.35">
      <c r="F472" s="25" t="s">
        <v>134</v>
      </c>
      <c r="G472" s="1"/>
      <c r="H472" s="26">
        <f>IF(H471&gt;H$14/2,"Senza senso",H471/H$14)</f>
        <v>8.9866082143858549E-6</v>
      </c>
      <c r="I472" s="26">
        <f t="shared" ref="I472:J472" si="39">IF(I471&gt;I$14/2,"Senza senso",I471/I$14)</f>
        <v>1.0080547251294416E-5</v>
      </c>
      <c r="J472" s="26">
        <f t="shared" si="39"/>
        <v>1.0727682356623158E-5</v>
      </c>
    </row>
    <row r="473" spans="6:14" ht="18" x14ac:dyDescent="0.35">
      <c r="F473" t="s">
        <v>14</v>
      </c>
      <c r="G473" s="1" t="s">
        <v>6</v>
      </c>
      <c r="H473" s="24">
        <f>$H$206*$H$205*H$16^4/H$198</f>
        <v>3.829035905005522E-2</v>
      </c>
      <c r="I473" s="24">
        <f t="shared" ref="I473:J473" si="40">$H$206*$H$205*I$16^4/I$198</f>
        <v>4.8386626806213195E-2</v>
      </c>
      <c r="J473" s="24">
        <f t="shared" si="40"/>
        <v>4.5343393433559184E-2</v>
      </c>
    </row>
    <row r="474" spans="6:14" ht="18" x14ac:dyDescent="0.35">
      <c r="F474" s="25" t="s">
        <v>135</v>
      </c>
      <c r="G474" s="1"/>
      <c r="H474" s="26">
        <f>IF(H473&gt;H$16/2,"Senza senso",H473/H$16)</f>
        <v>6.4461883922651889E-5</v>
      </c>
      <c r="I474" s="26">
        <f t="shared" ref="I474:J474" si="41">IF(I473&gt;I$16/2,"Senza senso",I473/I$16)</f>
        <v>8.0644378010355326E-5</v>
      </c>
      <c r="J474" s="26">
        <f t="shared" si="41"/>
        <v>7.553455511170946E-5</v>
      </c>
    </row>
    <row r="475" spans="6:14" ht="18" x14ac:dyDescent="0.35">
      <c r="F475" t="s">
        <v>15</v>
      </c>
      <c r="G475" s="1" t="s">
        <v>6</v>
      </c>
      <c r="H475" s="24">
        <f>$H$206*$H$205*H$18^4/H$198</f>
        <v>0.13503342347995459</v>
      </c>
      <c r="I475" s="24">
        <f t="shared" ref="I475:J475" si="42">$H$206*$H$205*I$18^4/I$198</f>
        <v>0.16071648335325467</v>
      </c>
      <c r="J475" s="24">
        <f t="shared" si="42"/>
        <v>0.1496406032252387</v>
      </c>
    </row>
    <row r="476" spans="6:14" ht="18" x14ac:dyDescent="0.35">
      <c r="F476" s="25" t="s">
        <v>136</v>
      </c>
      <c r="G476" s="1"/>
      <c r="H476" s="26">
        <f>IF(H475&gt;H$18/2,"Senza senso",H475/H$18)</f>
        <v>1.6588872663385085E-4</v>
      </c>
      <c r="I476" s="26">
        <f t="shared" ref="I476:J476" si="43">IF(I475&gt;I$18/2,"Senza senso",I475/I$18)</f>
        <v>1.9841541154722798E-4</v>
      </c>
      <c r="J476" s="26">
        <f t="shared" si="43"/>
        <v>1.849469821100466E-4</v>
      </c>
    </row>
    <row r="477" spans="6:14" ht="18" x14ac:dyDescent="0.35">
      <c r="F477" t="s">
        <v>16</v>
      </c>
      <c r="G477" s="1" t="s">
        <v>6</v>
      </c>
      <c r="H477" s="24">
        <f>$H$206*$H$205*H20^4/H$198</f>
        <v>0.2954503013121545</v>
      </c>
      <c r="I477" s="24">
        <f t="shared" ref="I477:J477" si="44">$H$206*$H$205*I$20^4/I$198</f>
        <v>0.35864198030406974</v>
      </c>
      <c r="J477" s="24">
        <f t="shared" si="44"/>
        <v>0.33786022066272586</v>
      </c>
    </row>
    <row r="478" spans="6:14" ht="18" x14ac:dyDescent="0.35">
      <c r="F478" s="25" t="s">
        <v>137</v>
      </c>
      <c r="H478" s="26">
        <f>IF(H477&gt;H20/2,"Senza senso",H477/H20)</f>
        <v>2.9843464779005503E-4</v>
      </c>
      <c r="I478" s="26">
        <f t="shared" ref="I478:J478" si="45">IF(I477&gt;I$20/2,"Senza senso",I477/I$20)</f>
        <v>3.6226462656976742E-4</v>
      </c>
      <c r="J478" s="26">
        <f t="shared" si="45"/>
        <v>3.406535800188807E-4</v>
      </c>
    </row>
    <row r="479" spans="6:14" ht="18" x14ac:dyDescent="0.35">
      <c r="F479" t="s">
        <v>158</v>
      </c>
      <c r="G479" s="1" t="s">
        <v>6</v>
      </c>
      <c r="H479" s="24">
        <f>$H$206*$H$205*H22^4/H$198</f>
        <v>0.70857608448789589</v>
      </c>
      <c r="I479" s="24">
        <f>$H$206*$H$205*I22^4/I$198</f>
        <v>0.85455651844094882</v>
      </c>
      <c r="J479" s="24">
        <f>$H$206*$H$205*J22^4/J$198</f>
        <v>0.79066789860407738</v>
      </c>
    </row>
    <row r="480" spans="6:14" ht="18" x14ac:dyDescent="0.35">
      <c r="F480" s="25" t="s">
        <v>156</v>
      </c>
      <c r="G480" s="34"/>
      <c r="H480" s="26">
        <f>IF(H479&gt;H22/2,"Senza senso",H479/H22)</f>
        <v>5.7514292572069471E-4</v>
      </c>
      <c r="I480" s="26">
        <f>IF(I479&gt;I22/2,"Senza senso",I479/I22)</f>
        <v>6.9476139710646242E-4</v>
      </c>
      <c r="J480" s="26">
        <f>IF(J479&gt;J22/2,"Senza senso",J479/J22)</f>
        <v>6.445487067775963E-4</v>
      </c>
    </row>
    <row r="481" spans="6:10" ht="18" x14ac:dyDescent="0.35">
      <c r="F481" t="s">
        <v>159</v>
      </c>
      <c r="G481" s="1" t="s">
        <v>6</v>
      </c>
      <c r="H481" s="24">
        <f>$H$206*$H$205*H24^4/H$198</f>
        <v>1.729922081269277</v>
      </c>
      <c r="I481" s="24">
        <f>$H$206*$H$205*I24^4/I$198</f>
        <v>2.0459078503501269</v>
      </c>
      <c r="J481" s="24">
        <f>$H$206*$H$205*J24^4/J$198</f>
        <v>1.963408747108059</v>
      </c>
    </row>
    <row r="482" spans="6:10" ht="18" x14ac:dyDescent="0.35">
      <c r="F482" s="25" t="s">
        <v>157</v>
      </c>
      <c r="G482" s="34"/>
      <c r="H482" s="26">
        <f>IF(H481&gt;H24/2,"Senza senso",H481/H24)</f>
        <v>1.1233260267982318E-3</v>
      </c>
      <c r="I482" s="26">
        <f>IF(I481&gt;I24/2,"Senza senso",I481/I24)</f>
        <v>1.3371946734314554E-3</v>
      </c>
      <c r="J482" s="26">
        <f>IF(J481&gt;J24/2,"Senza senso",J481/J24)</f>
        <v>1.2750235386116363E-3</v>
      </c>
    </row>
    <row r="483" spans="6:10" ht="18" x14ac:dyDescent="0.35">
      <c r="F483" t="s">
        <v>160</v>
      </c>
      <c r="G483" s="1" t="s">
        <v>6</v>
      </c>
      <c r="H483" s="24">
        <f>$H$206*$H$205*H26^4/H$198</f>
        <v>3.2575402584186945</v>
      </c>
      <c r="I483" s="24">
        <f t="shared" ref="I483:J483" si="46">$H$206*$H$205*I26^4/I$198</f>
        <v>3.9193167713032686</v>
      </c>
      <c r="J483" s="24">
        <f t="shared" si="46"/>
        <v>3.6728148681182957</v>
      </c>
    </row>
    <row r="484" spans="6:10" ht="18" x14ac:dyDescent="0.35">
      <c r="F484" s="25" t="s">
        <v>161</v>
      </c>
      <c r="G484" s="34"/>
      <c r="H484" s="26">
        <f>IF(H483&gt;H26/2,"Senza senso",H483/H26)</f>
        <v>1.8057318505646865E-3</v>
      </c>
      <c r="I484" s="26">
        <f t="shared" ref="I484:J484" si="47">IF(I483&gt;I26/2,"Senza senso",I483/I26)</f>
        <v>2.1773982062795938E-3</v>
      </c>
      <c r="J484" s="26">
        <f t="shared" si="47"/>
        <v>2.0394329880161562E-3</v>
      </c>
    </row>
    <row r="485" spans="6:10" ht="18" x14ac:dyDescent="0.35">
      <c r="F485" t="s">
        <v>172</v>
      </c>
      <c r="G485" s="1" t="s">
        <v>6</v>
      </c>
      <c r="H485" s="24">
        <f>$H$206*$H$205*H28^4/H$198</f>
        <v>4.940830456313182</v>
      </c>
      <c r="I485" s="24">
        <f>$H$206*$H$205*I28^4/I$198</f>
        <v>6.0940298222115352</v>
      </c>
      <c r="J485" s="24">
        <f>$H$206*$H$205*J28^4/J$198</f>
        <v>5.6959422259391488</v>
      </c>
    </row>
    <row r="486" spans="6:10" ht="18" x14ac:dyDescent="0.35">
      <c r="F486" s="25" t="s">
        <v>173</v>
      </c>
      <c r="G486" s="34"/>
      <c r="H486" s="26">
        <f>IF(H485&gt;H28/2,"Senza senso",H485/H28)</f>
        <v>2.4679472808757153E-3</v>
      </c>
      <c r="I486" s="26">
        <f>IF(I485&gt;I28/2,"Senza senso",I485/I28)</f>
        <v>3.0318556329410624E-3</v>
      </c>
      <c r="J486" s="26">
        <f>IF(J485&gt;J28/2,"Senza senso",J485/J28)</f>
        <v>2.8342251211320836E-3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8E735-DCC1-41B4-92D9-CC67D0BEF5E8}">
  <dimension ref="B1:V42"/>
  <sheetViews>
    <sheetView zoomScaleNormal="100" workbookViewId="0">
      <selection activeCell="B2" sqref="B2"/>
    </sheetView>
  </sheetViews>
  <sheetFormatPr defaultRowHeight="15" x14ac:dyDescent="0.25"/>
  <cols>
    <col min="1" max="1" width="1.5703125" customWidth="1"/>
    <col min="5" max="5" width="9.140625" customWidth="1"/>
    <col min="6" max="7" width="9.140625" style="3" customWidth="1"/>
    <col min="8" max="8" width="9.140625" style="24" customWidth="1"/>
    <col min="9" max="10" width="9.140625" customWidth="1"/>
    <col min="12" max="16" width="9.140625" customWidth="1"/>
    <col min="18" max="21" width="9.140625" customWidth="1"/>
  </cols>
  <sheetData>
    <row r="1" spans="2:11" ht="8.1" customHeight="1" x14ac:dyDescent="0.25"/>
    <row r="2" spans="2:11" ht="18.75" x14ac:dyDescent="0.3">
      <c r="B2" s="30" t="s">
        <v>300</v>
      </c>
      <c r="C2" s="29"/>
      <c r="D2" s="29"/>
      <c r="E2" s="29"/>
      <c r="F2" s="49"/>
      <c r="G2" s="49"/>
      <c r="H2" s="68"/>
      <c r="I2" s="29"/>
      <c r="J2" s="29"/>
      <c r="K2" s="44"/>
    </row>
    <row r="4" spans="2:11" ht="18" x14ac:dyDescent="0.35">
      <c r="B4" s="14" t="s">
        <v>317</v>
      </c>
    </row>
    <row r="5" spans="2:11" x14ac:dyDescent="0.25">
      <c r="B5" s="14" t="s">
        <v>318</v>
      </c>
    </row>
    <row r="6" spans="2:11" ht="18" x14ac:dyDescent="0.35">
      <c r="B6" s="14" t="s">
        <v>319</v>
      </c>
    </row>
    <row r="7" spans="2:11" ht="18" x14ac:dyDescent="0.35">
      <c r="B7" s="14" t="s">
        <v>320</v>
      </c>
    </row>
    <row r="8" spans="2:11" x14ac:dyDescent="0.25">
      <c r="B8" s="14" t="s">
        <v>321</v>
      </c>
    </row>
    <row r="9" spans="2:11" x14ac:dyDescent="0.25">
      <c r="B9" s="14"/>
    </row>
    <row r="10" spans="2:11" x14ac:dyDescent="0.25">
      <c r="B10" t="s">
        <v>301</v>
      </c>
      <c r="J10" t="s">
        <v>302</v>
      </c>
    </row>
    <row r="15" spans="2:11" ht="18.75" customHeight="1" x14ac:dyDescent="0.25">
      <c r="B15" s="66" t="s">
        <v>310</v>
      </c>
      <c r="C15" s="9"/>
      <c r="D15" s="9"/>
      <c r="E15" s="9"/>
      <c r="F15" s="69"/>
      <c r="G15" s="88"/>
      <c r="H15" s="89"/>
    </row>
    <row r="17" spans="3:22" ht="18" x14ac:dyDescent="0.35">
      <c r="C17" s="40" t="s">
        <v>99</v>
      </c>
      <c r="D17" s="2">
        <f>'Sand.panel_t-1,0'!H36</f>
        <v>1</v>
      </c>
      <c r="E17" t="s">
        <v>113</v>
      </c>
      <c r="G17" s="44" t="s">
        <v>101</v>
      </c>
      <c r="H17" s="90">
        <f>'Sand.panel_t-1,0'!H32</f>
        <v>3</v>
      </c>
      <c r="I17" t="s">
        <v>113</v>
      </c>
      <c r="M17" s="2" t="s">
        <v>2</v>
      </c>
      <c r="N17" s="2" t="s">
        <v>3</v>
      </c>
      <c r="O17" s="2" t="s">
        <v>147</v>
      </c>
    </row>
    <row r="18" spans="3:22" ht="18" x14ac:dyDescent="0.35">
      <c r="C18" t="s">
        <v>39</v>
      </c>
      <c r="D18">
        <f>'Sand.panel_t-1,0'!H48</f>
        <v>1940</v>
      </c>
      <c r="E18" t="s">
        <v>304</v>
      </c>
      <c r="G18" s="44" t="s">
        <v>313</v>
      </c>
      <c r="H18" s="90">
        <f>'Sand.panel_t-1,0'!H33</f>
        <v>3.5</v>
      </c>
      <c r="I18" t="s">
        <v>113</v>
      </c>
      <c r="K18" t="s">
        <v>308</v>
      </c>
      <c r="L18" s="2" t="s">
        <v>6</v>
      </c>
      <c r="M18" s="3">
        <f>'Sand.panel_t-1,0'!H12</f>
        <v>21.61018278497431</v>
      </c>
      <c r="N18" s="3">
        <f>'Sand.panel_t-1,0'!I12</f>
        <v>25.98076211353316</v>
      </c>
      <c r="O18" s="3">
        <f>'Sand.panel_t-1,0'!J12</f>
        <v>23.782451513668647</v>
      </c>
    </row>
    <row r="19" spans="3:22" ht="18" x14ac:dyDescent="0.35">
      <c r="C19" s="3" t="s">
        <v>309</v>
      </c>
      <c r="D19">
        <v>50</v>
      </c>
      <c r="E19" t="s">
        <v>304</v>
      </c>
      <c r="G19" s="44" t="s">
        <v>314</v>
      </c>
      <c r="H19" s="90">
        <f>'Sand.panel_t-1,0'!H34</f>
        <v>4</v>
      </c>
      <c r="I19" t="s">
        <v>113</v>
      </c>
    </row>
    <row r="20" spans="3:22" ht="18" x14ac:dyDescent="0.35">
      <c r="G20" s="44" t="s">
        <v>315</v>
      </c>
      <c r="H20" s="90">
        <f>'Sand.panel_t-1,0'!H35</f>
        <v>5</v>
      </c>
      <c r="I20" t="s">
        <v>113</v>
      </c>
      <c r="O20" s="44"/>
      <c r="P20" s="86"/>
      <c r="Q20" s="69"/>
      <c r="R20" s="3"/>
      <c r="S20" s="3"/>
      <c r="T20" s="3"/>
      <c r="U20" s="3"/>
    </row>
    <row r="21" spans="3:22" x14ac:dyDescent="0.25">
      <c r="O21" s="44"/>
      <c r="P21" s="86"/>
      <c r="Q21" s="69"/>
      <c r="R21" s="3"/>
      <c r="S21" s="3"/>
      <c r="T21" s="3"/>
      <c r="U21" s="3"/>
    </row>
    <row r="22" spans="3:22" x14ac:dyDescent="0.25">
      <c r="D22" s="44"/>
      <c r="E22" s="2"/>
      <c r="J22" s="44"/>
      <c r="K22" s="2"/>
      <c r="P22" s="44"/>
      <c r="Q22" s="2"/>
      <c r="R22" s="2"/>
      <c r="S22" s="2"/>
      <c r="T22" s="2"/>
      <c r="U22" s="3"/>
    </row>
    <row r="23" spans="3:22" ht="18" x14ac:dyDescent="0.35">
      <c r="F23" s="41" t="s">
        <v>101</v>
      </c>
      <c r="H23" s="3"/>
      <c r="J23" s="41" t="s">
        <v>102</v>
      </c>
      <c r="K23" s="3"/>
      <c r="L23" s="3"/>
      <c r="M23" s="69"/>
      <c r="N23" s="41" t="s">
        <v>103</v>
      </c>
      <c r="O23" s="3"/>
      <c r="P23" s="3"/>
      <c r="Q23" s="91"/>
      <c r="R23" s="41" t="s">
        <v>151</v>
      </c>
      <c r="S23" s="3"/>
      <c r="T23" s="3"/>
      <c r="U23" s="3"/>
    </row>
    <row r="24" spans="3:22" x14ac:dyDescent="0.25">
      <c r="F24" s="2" t="s">
        <v>2</v>
      </c>
      <c r="G24" s="2" t="s">
        <v>3</v>
      </c>
      <c r="H24" s="2" t="s">
        <v>147</v>
      </c>
      <c r="J24" s="2" t="s">
        <v>2</v>
      </c>
      <c r="K24" s="2" t="s">
        <v>3</v>
      </c>
      <c r="L24" s="2" t="s">
        <v>147</v>
      </c>
      <c r="N24" s="2" t="s">
        <v>2</v>
      </c>
      <c r="O24" s="2" t="s">
        <v>3</v>
      </c>
      <c r="P24" s="2" t="s">
        <v>147</v>
      </c>
      <c r="R24" s="2" t="s">
        <v>2</v>
      </c>
      <c r="S24" s="2" t="s">
        <v>3</v>
      </c>
      <c r="T24" s="2" t="s">
        <v>147</v>
      </c>
      <c r="U24" s="3"/>
    </row>
    <row r="25" spans="3:22" ht="18" x14ac:dyDescent="0.35">
      <c r="D25" t="s">
        <v>306</v>
      </c>
      <c r="E25" t="s">
        <v>316</v>
      </c>
      <c r="F25" s="3">
        <f>PI()^3*$D$18*$H$17^4/M18^2/64</f>
        <v>163.01948332248102</v>
      </c>
      <c r="G25" s="3">
        <f t="shared" ref="G25:H25" si="0">PI()^3*$D$18*$H$17^4/N18^2/64</f>
        <v>112.78533142459057</v>
      </c>
      <c r="H25" s="3">
        <f t="shared" si="0"/>
        <v>134.59940897198331</v>
      </c>
      <c r="J25" s="3">
        <f>PI()^3*$D$18*$H$18^4/M18^2/64</f>
        <v>302.01371871703469</v>
      </c>
      <c r="K25" s="3">
        <f t="shared" ref="K25:L25" si="1">PI()^3*$D$18*$H$18^4/N18^2/64</f>
        <v>208.94875057904471</v>
      </c>
      <c r="L25" s="3">
        <f t="shared" si="1"/>
        <v>249.36202233158326</v>
      </c>
      <c r="M25" s="3"/>
      <c r="N25" s="3">
        <f>PI()^3*$D$18*$H$19^4/M18^2/64</f>
        <v>515.22207074759433</v>
      </c>
      <c r="O25" s="3">
        <f t="shared" ref="O25:P25" si="2">PI()^3*$D$18*$H$19^4/N18^2/64</f>
        <v>356.45734376166899</v>
      </c>
      <c r="P25" s="3">
        <f t="shared" si="2"/>
        <v>425.40060119540408</v>
      </c>
      <c r="R25" s="3">
        <f>PI()^3*$D$18*$H$20^4/M18^2/64</f>
        <v>1257.8663836611192</v>
      </c>
      <c r="S25" s="3">
        <f t="shared" ref="S25:T25" si="3">PI()^3*$D$18*$H$20^4/N18^2/64</f>
        <v>870.25718691813722</v>
      </c>
      <c r="T25" s="3">
        <f t="shared" si="3"/>
        <v>1038.5756865122171</v>
      </c>
      <c r="U25" s="3"/>
    </row>
    <row r="26" spans="3:22" ht="18" x14ac:dyDescent="0.35">
      <c r="D26" s="3" t="s">
        <v>307</v>
      </c>
      <c r="E26" t="s">
        <v>34</v>
      </c>
      <c r="F26" s="3">
        <f>PI()^2*$D$18*$H$17^2/M18^2/16</f>
        <v>23.062539192053023</v>
      </c>
      <c r="G26" s="3">
        <f t="shared" ref="G26:H26" si="4">PI()^2*$D$18*$H$17^2/N18^2/16</f>
        <v>15.955860448427796</v>
      </c>
      <c r="H26" s="3">
        <f t="shared" si="4"/>
        <v>19.041921133456672</v>
      </c>
      <c r="J26" s="3">
        <f>PI()^2*$D$18*$H$18^2/M18^2/16</f>
        <v>31.390678344738838</v>
      </c>
      <c r="K26" s="3">
        <f t="shared" ref="K26:L26" si="5">PI()^2*$D$18*$H$18^2/N18^2/16</f>
        <v>21.717698943693389</v>
      </c>
      <c r="L26" s="3">
        <f t="shared" si="5"/>
        <v>25.918170431649358</v>
      </c>
      <c r="M26" s="3"/>
      <c r="N26" s="3">
        <f>PI()^2*$D$18*$H$19^2/M18^2/16</f>
        <v>41.00006967476093</v>
      </c>
      <c r="O26" s="3">
        <f t="shared" ref="O26:P26" si="6">PI()^2*$D$18*$H$19^2/N18^2/16</f>
        <v>28.365974130538305</v>
      </c>
      <c r="P26" s="3">
        <f t="shared" si="6"/>
        <v>33.852304237256305</v>
      </c>
      <c r="R26" s="3">
        <f>PI()^2*$D$18*$H$20^2/M18^2/16</f>
        <v>64.062608866813946</v>
      </c>
      <c r="S26" s="3">
        <f t="shared" ref="S26:T26" si="7">PI()^2*$D$18*$H$20^2/N18^2/16</f>
        <v>44.321834578966097</v>
      </c>
      <c r="T26" s="3">
        <f t="shared" si="7"/>
        <v>52.894225370712967</v>
      </c>
      <c r="U26" s="3"/>
    </row>
    <row r="27" spans="3:22" ht="18" x14ac:dyDescent="0.35">
      <c r="D27" s="64" t="s">
        <v>247</v>
      </c>
      <c r="E27" t="s">
        <v>6</v>
      </c>
      <c r="F27" s="87">
        <f>'Sand.panel_t-1,0'!$H18</f>
        <v>814</v>
      </c>
      <c r="G27" s="87">
        <f>'Sand.panel_t-1,0'!$I18</f>
        <v>810</v>
      </c>
      <c r="H27" s="87">
        <f>'Sand.panel_t-1,0'!$J18</f>
        <v>809.1</v>
      </c>
      <c r="J27" s="87">
        <f>'Sand.panel_t-1,0'!H18</f>
        <v>814</v>
      </c>
      <c r="K27" s="87">
        <f>'Sand.panel_t-1,0'!$I18</f>
        <v>810</v>
      </c>
      <c r="L27" s="87">
        <f>'Sand.panel_t-1,0'!$J18</f>
        <v>809.1</v>
      </c>
      <c r="M27" s="3"/>
      <c r="N27" s="87">
        <f>'Sand.panel_t-1,0'!H18</f>
        <v>814</v>
      </c>
      <c r="O27" s="87">
        <f>'Sand.panel_t-1,0'!I18</f>
        <v>810</v>
      </c>
      <c r="P27" s="87">
        <f>'Sand.panel_t-1,0'!J18</f>
        <v>809.1</v>
      </c>
      <c r="R27" s="87">
        <f>'Sand.panel_t-1,0'!H18</f>
        <v>814</v>
      </c>
      <c r="S27" s="87">
        <f>'Sand.panel_t-1,0'!I18</f>
        <v>810</v>
      </c>
      <c r="T27" s="87">
        <f>'Sand.panel_t-1,0'!J18</f>
        <v>809.1</v>
      </c>
      <c r="U27" s="3"/>
    </row>
    <row r="28" spans="3:22" ht="18" x14ac:dyDescent="0.35">
      <c r="C28" s="2"/>
      <c r="D28" s="3" t="s">
        <v>311</v>
      </c>
      <c r="E28" t="s">
        <v>34</v>
      </c>
      <c r="F28" s="3">
        <v>-0.54</v>
      </c>
      <c r="G28" s="3">
        <v>-0.86</v>
      </c>
      <c r="H28" s="3">
        <v>-0.69</v>
      </c>
      <c r="J28" s="3">
        <v>-0.4</v>
      </c>
      <c r="K28" s="3">
        <v>-0.65</v>
      </c>
      <c r="L28" s="3">
        <v>-0.52</v>
      </c>
      <c r="M28" s="3"/>
      <c r="N28" s="3">
        <v>-0.31</v>
      </c>
      <c r="O28" s="3">
        <v>-0.5</v>
      </c>
      <c r="P28" s="3">
        <v>-0.4</v>
      </c>
      <c r="R28" s="3">
        <v>-0.2</v>
      </c>
      <c r="S28" s="3">
        <v>-0.33</v>
      </c>
      <c r="T28" s="3">
        <v>-0.26</v>
      </c>
      <c r="U28" s="3"/>
    </row>
    <row r="29" spans="3:22" x14ac:dyDescent="0.25">
      <c r="C29" s="2"/>
      <c r="D29" s="51" t="s">
        <v>303</v>
      </c>
      <c r="F29" s="51" t="str">
        <f>IF(F28&lt;0,IF(ABS(F28)&lt;=F$26,"OK","NOT OK"),IF(F28&lt;=$D$19,"OK","NOT OK"))</f>
        <v>OK</v>
      </c>
      <c r="G29" s="51" t="str">
        <f>IF(G28&lt;0,IF(ABS(G28)&lt;=G$26,"OK","NOT OK"),IF(G28&lt;=$D$19,"OK","NOT OK"))</f>
        <v>OK</v>
      </c>
      <c r="H29" s="51" t="str">
        <f>IF(H28&lt;0,IF(ABS(H28)&lt;=H$26,"OK","NOT OK"),IF(H28&lt;=$D$19,"OK","NOT OK"))</f>
        <v>OK</v>
      </c>
      <c r="J29" s="51" t="str">
        <f>IF(J28&lt;0,IF(ABS(J28)&lt;=J$26,"OK","NOT OK"),IF(J28&lt;=$D$19,"OK","NOT OK"))</f>
        <v>OK</v>
      </c>
      <c r="K29" s="51" t="str">
        <f>IF(K28&lt;0,IF(ABS(K28)&lt;=K$26,"OK","NOT OK"),IF(K28&lt;=$D$19,"OK","NOT OK"))</f>
        <v>OK</v>
      </c>
      <c r="L29" s="51" t="str">
        <f>IF(L28&lt;0,IF(ABS(L28)&lt;=L$26,"OK","NOT OK"),IF(L28&lt;=$D$19,"OK","NOT OK"))</f>
        <v>OK</v>
      </c>
      <c r="M29" s="3"/>
      <c r="N29" s="51" t="str">
        <f>IF(N28&lt;0,IF(ABS(N28)&lt;=N$26,"OK","NOT OK"),IF(N28&lt;=$D$19,"OK","NOT OK"))</f>
        <v>OK</v>
      </c>
      <c r="O29" s="51" t="str">
        <f>IF(O28&lt;0,IF(ABS(O28)&lt;=O$26,"OK","NOT OK"),IF(O28&lt;=$D$19,"OK","NOT OK"))</f>
        <v>OK</v>
      </c>
      <c r="P29" s="51" t="str">
        <f>IF(P28&lt;0,IF(ABS(P28)&lt;=P$26,"OK","NOT OK"),IF(P28&lt;=$D$19,"OK","NOT OK"))</f>
        <v>OK</v>
      </c>
      <c r="R29" s="51" t="str">
        <f>IF(R28&lt;0,IF(ABS(R28)&lt;=R$26,"OK","NOT OK"),IF(R28&lt;=$D$19,"OK","NOT OK"))</f>
        <v>OK</v>
      </c>
      <c r="S29" s="51" t="str">
        <f>IF(S28&lt;0,IF(ABS(S28)&lt;=S$26,"OK","NOT OK"),IF(S28&lt;=$D$19,"OK","NOT OK"))</f>
        <v>OK</v>
      </c>
      <c r="T29" s="51" t="str">
        <f>IF(T28&lt;0,IF(ABS(T28)&lt;=T$26,"OK","NOT OK"),IF(T28&lt;=$D$19,"OK","NOT OK"))</f>
        <v>OK</v>
      </c>
      <c r="U29" s="3"/>
    </row>
    <row r="30" spans="3:22" ht="18" x14ac:dyDescent="0.35">
      <c r="C30" s="2"/>
      <c r="D30" s="3" t="s">
        <v>312</v>
      </c>
      <c r="E30" t="s">
        <v>34</v>
      </c>
      <c r="F30" s="3">
        <v>0.55000000000000004</v>
      </c>
      <c r="G30" s="3">
        <v>0.86</v>
      </c>
      <c r="H30" s="3">
        <v>0.7</v>
      </c>
      <c r="J30" s="3">
        <v>0.4</v>
      </c>
      <c r="K30" s="3">
        <v>0.64</v>
      </c>
      <c r="L30" s="3">
        <v>0.52</v>
      </c>
      <c r="M30" s="3"/>
      <c r="N30" s="3">
        <v>0.31</v>
      </c>
      <c r="O30" s="3">
        <v>0.49</v>
      </c>
      <c r="P30" s="3">
        <v>0.39</v>
      </c>
      <c r="R30" s="3">
        <v>0.2</v>
      </c>
      <c r="S30" s="3">
        <v>0.31</v>
      </c>
      <c r="T30" s="3">
        <v>0.25</v>
      </c>
      <c r="U30" s="3"/>
    </row>
    <row r="31" spans="3:22" x14ac:dyDescent="0.25">
      <c r="C31" s="2"/>
      <c r="D31" s="51" t="s">
        <v>303</v>
      </c>
      <c r="F31" s="51" t="str">
        <f>IF(F30&lt;0,IF(ABS(F30)&lt;=F$26,"OK","NOT OK"),IF(F30&lt;=$D$19,"OK","NOT OK"))</f>
        <v>OK</v>
      </c>
      <c r="G31" s="51" t="str">
        <f>IF(G30&lt;0,IF(ABS(G30)&lt;=G$26,"OK","NOT OK"),IF(G30&lt;=$D$19,"OK","NOT OK"))</f>
        <v>OK</v>
      </c>
      <c r="H31" s="51" t="str">
        <f>IF(H30&lt;0,IF(ABS(H30)&lt;=H$26,"OK","NOT OK"),IF(H30&lt;=$D$19,"OK","NOT OK"))</f>
        <v>OK</v>
      </c>
      <c r="J31" s="51" t="str">
        <f>IF(J30&lt;0,IF(ABS(J30)&lt;=J$26,"OK","NOT OK"),IF(J30&lt;=$D$19,"OK","NOT OK"))</f>
        <v>OK</v>
      </c>
      <c r="K31" s="51" t="str">
        <f>IF(K30&lt;0,IF(ABS(K30)&lt;=K$26,"OK","NOT OK"),IF(K30&lt;=$D$19,"OK","NOT OK"))</f>
        <v>OK</v>
      </c>
      <c r="L31" s="51" t="str">
        <f>IF(L30&lt;0,IF(ABS(L30)&lt;=L$26,"OK","NOT OK"),IF(L30&lt;=$D$19,"OK","NOT OK"))</f>
        <v>OK</v>
      </c>
      <c r="M31" s="3"/>
      <c r="N31" s="51" t="str">
        <f>IF(N30&lt;0,IF(ABS(N30)&lt;=N$26,"OK","NOT OK"),IF(N30&lt;=$D$19,"OK","NOT OK"))</f>
        <v>OK</v>
      </c>
      <c r="O31" s="51" t="str">
        <f>IF(O30&lt;0,IF(ABS(O30)&lt;=O$26,"OK","NOT OK"),IF(O30&lt;=$D$19,"OK","NOT OK"))</f>
        <v>OK</v>
      </c>
      <c r="P31" s="51" t="str">
        <f>IF(P30&lt;0,IF(ABS(P30)&lt;=P$26,"OK","NOT OK"),IF(P30&lt;=$D$19,"OK","NOT OK"))</f>
        <v>OK</v>
      </c>
      <c r="R31" s="51" t="str">
        <f>IF(R30&lt;0,IF(ABS(R30)&lt;=R$26,"OK","NOT OK"),IF(R30&lt;=$D$19,"OK","NOT OK"))</f>
        <v>OK</v>
      </c>
      <c r="S31" s="51" t="str">
        <f>IF(S30&lt;0,IF(ABS(S30)&lt;=S$26,"OK","NOT OK"),IF(S30&lt;=$D$19,"OK","NOT OK"))</f>
        <v>OK</v>
      </c>
      <c r="T31" s="51" t="str">
        <f>IF(T30&lt;0,IF(ABS(T30)&lt;=T$26,"OK","NOT OK"),IF(T30&lt;=$D$19,"OK","NOT OK"))</f>
        <v>OK</v>
      </c>
      <c r="U31" s="3"/>
      <c r="V31" s="3"/>
    </row>
    <row r="32" spans="3:22" ht="18" x14ac:dyDescent="0.35">
      <c r="C32" s="2"/>
      <c r="D32" s="64" t="s">
        <v>153</v>
      </c>
      <c r="E32" t="s">
        <v>6</v>
      </c>
      <c r="F32" s="87">
        <f>'Sand.panel_t-1,0'!H22</f>
        <v>1232</v>
      </c>
      <c r="G32" s="87">
        <f>'Sand.panel_t-1,0'!I22</f>
        <v>1230</v>
      </c>
      <c r="H32" s="87">
        <f>'Sand.panel_t-1,0'!J22</f>
        <v>1226.7</v>
      </c>
      <c r="J32" s="87">
        <f>'Sand.panel_t-1,0'!H22</f>
        <v>1232</v>
      </c>
      <c r="K32" s="87">
        <f>'Sand.panel_t-1,0'!I22</f>
        <v>1230</v>
      </c>
      <c r="L32" s="87">
        <f>'Sand.panel_t-1,0'!J22</f>
        <v>1226.7</v>
      </c>
      <c r="M32" s="3"/>
      <c r="N32" s="87">
        <f>'Sand.panel_t-1,0'!H22</f>
        <v>1232</v>
      </c>
      <c r="O32" s="87">
        <f>'Sand.panel_t-1,0'!I22</f>
        <v>1230</v>
      </c>
      <c r="P32" s="87">
        <f>'Sand.panel_t-1,0'!J22</f>
        <v>1226.7</v>
      </c>
      <c r="R32" s="87">
        <f>'Sand.panel_t-1,0'!H22</f>
        <v>1232</v>
      </c>
      <c r="S32" s="87">
        <f>'Sand.panel_t-1,0'!I22</f>
        <v>1230</v>
      </c>
      <c r="T32" s="87">
        <f>'Sand.panel_t-1,0'!J22</f>
        <v>1226.7</v>
      </c>
      <c r="U32" s="3"/>
      <c r="V32" s="3"/>
    </row>
    <row r="33" spans="3:22" ht="18" x14ac:dyDescent="0.35">
      <c r="C33" s="2"/>
      <c r="D33" s="3" t="s">
        <v>311</v>
      </c>
      <c r="E33" t="s">
        <v>34</v>
      </c>
      <c r="F33" s="3">
        <v>-0.85</v>
      </c>
      <c r="G33" s="3">
        <v>-1.37</v>
      </c>
      <c r="H33" s="3">
        <v>-1.1000000000000001</v>
      </c>
      <c r="J33" s="3">
        <v>-0.63</v>
      </c>
      <c r="K33" s="3">
        <v>-1</v>
      </c>
      <c r="L33" s="3">
        <v>-0.81</v>
      </c>
      <c r="M33" s="3"/>
      <c r="N33" s="3">
        <v>-0.49</v>
      </c>
      <c r="O33" s="3">
        <v>-0.78</v>
      </c>
      <c r="P33" s="3">
        <v>-0.62</v>
      </c>
      <c r="R33" s="3">
        <v>-0.33</v>
      </c>
      <c r="S33" s="3">
        <v>-0.51</v>
      </c>
      <c r="T33" s="3">
        <v>-0.41</v>
      </c>
      <c r="U33" s="3"/>
      <c r="V33" s="3"/>
    </row>
    <row r="34" spans="3:22" x14ac:dyDescent="0.25">
      <c r="C34" s="2"/>
      <c r="D34" s="51" t="s">
        <v>303</v>
      </c>
      <c r="F34" s="51" t="str">
        <f>IF(F33&lt;0,IF(ABS(F33)&lt;=F$26,"OK","NOT OK"),IF(F33&lt;=$D$19,"OK","NOT OK"))</f>
        <v>OK</v>
      </c>
      <c r="G34" s="51" t="str">
        <f>IF(G33&lt;0,IF(ABS(G33)&lt;=G$26,"OK","NOT OK"),IF(G33&lt;=$D$19,"OK","NOT OK"))</f>
        <v>OK</v>
      </c>
      <c r="H34" s="51" t="str">
        <f>IF(H33&lt;0,IF(ABS(H33)&lt;=H$26,"OK","NOT OK"),IF(H33&lt;=$D$19,"OK","NOT OK"))</f>
        <v>OK</v>
      </c>
      <c r="J34" s="51" t="str">
        <f>IF(J33&lt;0,IF(ABS(J33)&lt;=J$26,"OK","NOT OK"),IF(J33&lt;=$D$19,"OK","NOT OK"))</f>
        <v>OK</v>
      </c>
      <c r="K34" s="51" t="str">
        <f>IF(K33&lt;0,IF(ABS(K33)&lt;=K$26,"OK","NOT OK"),IF(K33&lt;=$D$19,"OK","NOT OK"))</f>
        <v>OK</v>
      </c>
      <c r="L34" s="51" t="str">
        <f>IF(L33&lt;0,IF(ABS(L33)&lt;=L$26,"OK","NOT OK"),IF(L33&lt;=$D$19,"OK","NOT OK"))</f>
        <v>OK</v>
      </c>
      <c r="M34" s="3"/>
      <c r="N34" s="51" t="str">
        <f>IF(N33&lt;0,IF(ABS(N33)&lt;=N$26,"OK","NOT OK"),IF(N33&lt;=$D$19,"OK","NOT OK"))</f>
        <v>OK</v>
      </c>
      <c r="O34" s="51" t="str">
        <f>IF(O33&lt;0,IF(ABS(O33)&lt;=O$26,"OK","NOT OK"),IF(O33&lt;=$D$19,"OK","NOT OK"))</f>
        <v>OK</v>
      </c>
      <c r="P34" s="51" t="str">
        <f>IF(P33&lt;0,IF(ABS(P33)&lt;=P$26,"OK","NOT OK"),IF(P33&lt;=$D$19,"OK","NOT OK"))</f>
        <v>OK</v>
      </c>
      <c r="R34" s="51" t="str">
        <f>IF(R33&lt;0,IF(ABS(R33)&lt;=R$26,"OK","NOT OK"),IF(R33&lt;=$D$19,"OK","NOT OK"))</f>
        <v>OK</v>
      </c>
      <c r="S34" s="51" t="str">
        <f>IF(S33&lt;0,IF(ABS(S33)&lt;=S$26,"OK","NOT OK"),IF(S33&lt;=$D$19,"OK","NOT OK"))</f>
        <v>OK</v>
      </c>
      <c r="T34" s="51" t="str">
        <f>IF(T33&lt;0,IF(ABS(T33)&lt;=T$26,"OK","NOT OK"),IF(T33&lt;=$D$19,"OK","NOT OK"))</f>
        <v>OK</v>
      </c>
      <c r="U34" s="3"/>
      <c r="V34" s="3"/>
    </row>
    <row r="35" spans="3:22" ht="18" x14ac:dyDescent="0.35">
      <c r="C35" s="2"/>
      <c r="D35" s="3" t="s">
        <v>312</v>
      </c>
      <c r="E35" t="s">
        <v>34</v>
      </c>
      <c r="F35" s="3">
        <v>1.01</v>
      </c>
      <c r="G35" s="3">
        <v>1.39</v>
      </c>
      <c r="H35" s="3">
        <v>1.1200000000000001</v>
      </c>
      <c r="J35" s="3">
        <v>0.75</v>
      </c>
      <c r="K35" s="3">
        <v>1.03</v>
      </c>
      <c r="L35" s="3">
        <v>0.82</v>
      </c>
      <c r="M35" s="3"/>
      <c r="N35" s="3">
        <v>0.57999999999999996</v>
      </c>
      <c r="O35" s="3">
        <v>0.78</v>
      </c>
      <c r="P35" s="3">
        <v>0.63</v>
      </c>
      <c r="R35" s="3">
        <v>0.37</v>
      </c>
      <c r="S35" s="3">
        <v>0.5</v>
      </c>
      <c r="T35" s="3">
        <v>0.4</v>
      </c>
      <c r="U35" s="3"/>
      <c r="V35" s="3"/>
    </row>
    <row r="36" spans="3:22" x14ac:dyDescent="0.25">
      <c r="C36" s="2"/>
      <c r="D36" s="51" t="s">
        <v>303</v>
      </c>
      <c r="F36" s="51" t="str">
        <f>IF(F35&lt;0,IF(ABS(F35)&lt;=F$26,"OK","NOT OK"),IF(F35&lt;=$D$19,"OK","NOT OK"))</f>
        <v>OK</v>
      </c>
      <c r="G36" s="51" t="str">
        <f>IF(G35&lt;0,IF(ABS(G35)&lt;=G$26,"OK","NOT OK"),IF(G35&lt;=$D$19,"OK","NOT OK"))</f>
        <v>OK</v>
      </c>
      <c r="H36" s="51" t="str">
        <f>IF(H35&lt;0,IF(ABS(H35)&lt;=H$26,"OK","NOT OK"),IF(H35&lt;=$D$19,"OK","NOT OK"))</f>
        <v>OK</v>
      </c>
      <c r="J36" s="51" t="str">
        <f>IF(J35&lt;0,IF(ABS(J35)&lt;=J$26,"OK","NOT OK"),IF(J35&lt;=$D$19,"OK","NOT OK"))</f>
        <v>OK</v>
      </c>
      <c r="K36" s="51" t="str">
        <f>IF(K35&lt;0,IF(ABS(K35)&lt;=K$26,"OK","NOT OK"),IF(K35&lt;=$D$19,"OK","NOT OK"))</f>
        <v>OK</v>
      </c>
      <c r="L36" s="51" t="str">
        <f>IF(L35&lt;0,IF(ABS(L35)&lt;=L$26,"OK","NOT OK"),IF(L35&lt;=$D$19,"OK","NOT OK"))</f>
        <v>OK</v>
      </c>
      <c r="M36" s="3"/>
      <c r="N36" s="51" t="str">
        <f>IF(N35&lt;0,IF(ABS(N35)&lt;=N$26,"OK","NOT OK"),IF(N35&lt;=$D$19,"OK","NOT OK"))</f>
        <v>OK</v>
      </c>
      <c r="O36" s="51" t="str">
        <f>IF(O35&lt;0,IF(ABS(O35)&lt;=O$26,"OK","NOT OK"),IF(O35&lt;=$D$19,"OK","NOT OK"))</f>
        <v>OK</v>
      </c>
      <c r="P36" s="51" t="str">
        <f>IF(P35&lt;0,IF(ABS(P35)&lt;=P$26,"OK","NOT OK"),IF(P35&lt;=$D$19,"OK","NOT OK"))</f>
        <v>OK</v>
      </c>
      <c r="R36" s="51" t="str">
        <f>IF(R35&lt;0,IF(ABS(R35)&lt;=R$26,"OK","NOT OK"),IF(R35&lt;=$D$19,"OK","NOT OK"))</f>
        <v>OK</v>
      </c>
      <c r="S36" s="51" t="str">
        <f>IF(S35&lt;0,IF(ABS(S35)&lt;=S$26,"OK","NOT OK"),IF(S35&lt;=$D$19,"OK","NOT OK"))</f>
        <v>OK</v>
      </c>
      <c r="T36" s="51" t="str">
        <f>IF(T35&lt;0,IF(ABS(T35)&lt;=T$26,"OK","NOT OK"),IF(T35&lt;=$D$19,"OK","NOT OK"))</f>
        <v>OK</v>
      </c>
      <c r="U36" s="3"/>
      <c r="V36" s="3"/>
    </row>
    <row r="37" spans="3:22" ht="18" x14ac:dyDescent="0.35">
      <c r="C37" s="2"/>
      <c r="D37" s="64" t="s">
        <v>305</v>
      </c>
      <c r="E37" t="s">
        <v>6</v>
      </c>
      <c r="F37" s="87">
        <f>'Sand.panel_t-1,0'!H26</f>
        <v>1804</v>
      </c>
      <c r="G37" s="87">
        <f>'Sand.panel_t-1,0'!I26</f>
        <v>1800</v>
      </c>
      <c r="H37" s="87">
        <f>'Sand.panel_t-1,0'!J26</f>
        <v>1800.9</v>
      </c>
      <c r="J37" s="87">
        <f>'Sand.panel_t-1,0'!H26</f>
        <v>1804</v>
      </c>
      <c r="K37" s="87">
        <f>'Sand.panel_t-1,0'!I26</f>
        <v>1800</v>
      </c>
      <c r="L37" s="87">
        <f>'Sand.panel_t-1,0'!J26</f>
        <v>1800.9</v>
      </c>
      <c r="M37" s="3"/>
      <c r="N37" s="87">
        <f>'Sand.panel_t-1,0'!H26</f>
        <v>1804</v>
      </c>
      <c r="O37" s="87">
        <f>'Sand.panel_t-1,0'!I26</f>
        <v>1800</v>
      </c>
      <c r="P37" s="87">
        <f>'Sand.panel_t-1,0'!J26</f>
        <v>1800.9</v>
      </c>
      <c r="R37" s="87">
        <f>'Sand.panel_t-1,0'!H26</f>
        <v>1804</v>
      </c>
      <c r="S37" s="87">
        <f>'Sand.panel_t-1,0'!I26</f>
        <v>1800</v>
      </c>
      <c r="T37" s="87">
        <f>'Sand.panel_t-1,0'!J26</f>
        <v>1800.9</v>
      </c>
      <c r="U37" s="3"/>
      <c r="V37" s="3"/>
    </row>
    <row r="38" spans="3:22" ht="18" x14ac:dyDescent="0.35">
      <c r="C38" s="2"/>
      <c r="D38" s="3" t="s">
        <v>311</v>
      </c>
      <c r="E38" t="s">
        <v>34</v>
      </c>
      <c r="F38" s="3">
        <v>-1.29</v>
      </c>
      <c r="G38" s="3">
        <v>-2.08</v>
      </c>
      <c r="H38" s="3">
        <v>-1.67</v>
      </c>
      <c r="J38" s="3">
        <v>-0.94</v>
      </c>
      <c r="K38" s="3">
        <v>-1.53</v>
      </c>
      <c r="L38" s="3">
        <v>-1.22</v>
      </c>
      <c r="M38" s="3"/>
      <c r="N38" s="3">
        <v>-0.74</v>
      </c>
      <c r="O38" s="3">
        <v>-1.21</v>
      </c>
      <c r="P38" s="3">
        <v>-0.96</v>
      </c>
      <c r="R38" s="3">
        <v>-0.5</v>
      </c>
      <c r="S38" s="3">
        <v>-0.81</v>
      </c>
      <c r="T38" s="3">
        <v>-0.65</v>
      </c>
      <c r="U38" s="3"/>
      <c r="V38" s="3"/>
    </row>
    <row r="39" spans="3:22" x14ac:dyDescent="0.25">
      <c r="C39" s="2"/>
      <c r="D39" s="51" t="s">
        <v>303</v>
      </c>
      <c r="F39" s="51" t="str">
        <f>IF(F38&lt;0,IF(ABS(F38)&lt;=F$26,"OK","NOT OK"),IF(F38&lt;=$D$19,"OK","NOT OK"))</f>
        <v>OK</v>
      </c>
      <c r="G39" s="51" t="str">
        <f>IF(G38&lt;0,IF(ABS(G38)&lt;=G$26,"OK","NOT OK"),IF(G38&lt;=$D$19,"OK","NOT OK"))</f>
        <v>OK</v>
      </c>
      <c r="H39" s="51" t="str">
        <f>IF(H38&lt;0,IF(ABS(H38)&lt;=H$26,"OK","NOT OK"),IF(H38&lt;=$D$19,"OK","NOT OK"))</f>
        <v>OK</v>
      </c>
      <c r="J39" s="51" t="str">
        <f>IF(J38&lt;0,IF(ABS(J38)&lt;=J$26,"OK","NOT OK"),IF(J38&lt;=$D$19,"OK","NOT OK"))</f>
        <v>OK</v>
      </c>
      <c r="K39" s="51" t="str">
        <f>IF(K38&lt;0,IF(ABS(K38)&lt;=K$26,"OK","NOT OK"),IF(K38&lt;=$D$19,"OK","NOT OK"))</f>
        <v>OK</v>
      </c>
      <c r="L39" s="51" t="str">
        <f>IF(L38&lt;0,IF(ABS(L38)&lt;=L$26,"OK","NOT OK"),IF(L38&lt;=$D$19,"OK","NOT OK"))</f>
        <v>OK</v>
      </c>
      <c r="M39" s="3"/>
      <c r="N39" s="51" t="str">
        <f>IF(N38&lt;0,IF(ABS(N38)&lt;=N$26,"OK","NOT OK"),IF(N38&lt;=$D$19,"OK","NOT OK"))</f>
        <v>OK</v>
      </c>
      <c r="O39" s="51" t="str">
        <f>IF(O38&lt;0,IF(ABS(O38)&lt;=O$26,"OK","NOT OK"),IF(O38&lt;=$D$19,"OK","NOT OK"))</f>
        <v>OK</v>
      </c>
      <c r="P39" s="51" t="str">
        <f>IF(P38&lt;0,IF(ABS(P38)&lt;=P$26,"OK","NOT OK"),IF(P38&lt;=$D$19,"OK","NOT OK"))</f>
        <v>OK</v>
      </c>
      <c r="R39" s="51" t="str">
        <f>IF(R38&lt;0,IF(ABS(R38)&lt;=R$26,"OK","NOT OK"),IF(R38&lt;=$D$19,"OK","NOT OK"))</f>
        <v>OK</v>
      </c>
      <c r="S39" s="51" t="str">
        <f>IF(S38&lt;0,IF(ABS(S38)&lt;=S$26,"OK","NOT OK"),IF(S38&lt;=$D$19,"OK","NOT OK"))</f>
        <v>OK</v>
      </c>
      <c r="T39" s="51" t="str">
        <f>IF(T38&lt;0,IF(ABS(T38)&lt;=T$26,"OK","NOT OK"),IF(T38&lt;=$D$19,"OK","NOT OK"))</f>
        <v>OK</v>
      </c>
      <c r="U39" s="3"/>
      <c r="V39" s="3"/>
    </row>
    <row r="40" spans="3:22" ht="18" x14ac:dyDescent="0.35">
      <c r="C40" s="2"/>
      <c r="D40" s="3" t="s">
        <v>312</v>
      </c>
      <c r="E40" t="s">
        <v>34</v>
      </c>
      <c r="F40" s="3">
        <v>1.52</v>
      </c>
      <c r="G40" s="3">
        <v>2.4500000000000002</v>
      </c>
      <c r="H40" s="3">
        <v>1.97</v>
      </c>
      <c r="J40" s="3">
        <v>1.1299999999999999</v>
      </c>
      <c r="K40" s="3">
        <v>1.82</v>
      </c>
      <c r="L40" s="3">
        <v>1.46</v>
      </c>
      <c r="M40" s="3"/>
      <c r="N40" s="3">
        <v>0.87</v>
      </c>
      <c r="O40" s="3">
        <v>1.4</v>
      </c>
      <c r="P40" s="3">
        <v>1.1299999999999999</v>
      </c>
      <c r="R40" s="3">
        <v>0.56000000000000005</v>
      </c>
      <c r="S40" s="3">
        <v>0.89</v>
      </c>
      <c r="T40" s="3">
        <v>0.72</v>
      </c>
      <c r="U40" s="3"/>
      <c r="V40" s="3"/>
    </row>
    <row r="41" spans="3:22" x14ac:dyDescent="0.25">
      <c r="C41" s="2"/>
      <c r="D41" s="51" t="s">
        <v>303</v>
      </c>
      <c r="F41" s="51" t="str">
        <f>IF(F40&lt;0,IF(ABS(F40)&lt;=F$26,"OK","NOT OK"),IF(F40&lt;=$D$19,"OK","NOT OK"))</f>
        <v>OK</v>
      </c>
      <c r="G41" s="51" t="str">
        <f>IF(G40&lt;0,IF(ABS(G40)&lt;=G$26,"OK","NOT OK"),IF(G40&lt;=$D$19,"OK","NOT OK"))</f>
        <v>OK</v>
      </c>
      <c r="H41" s="51" t="str">
        <f>IF(H40&lt;0,IF(ABS(H40)&lt;=H$26,"OK","NOT OK"),IF(H40&lt;=$D$19,"OK","NOT OK"))</f>
        <v>OK</v>
      </c>
      <c r="J41" s="51" t="str">
        <f>IF(J40&lt;0,IF(ABS(J40)&lt;=J$26,"OK","NOT OK"),IF(J40&lt;=$D$19,"OK","NOT OK"))</f>
        <v>OK</v>
      </c>
      <c r="K41" s="51" t="str">
        <f>IF(K40&lt;0,IF(ABS(K40)&lt;=K$26,"OK","NOT OK"),IF(K40&lt;=$D$19,"OK","NOT OK"))</f>
        <v>OK</v>
      </c>
      <c r="L41" s="51" t="str">
        <f>IF(L40&lt;0,IF(ABS(L40)&lt;=L$26,"OK","NOT OK"),IF(L40&lt;=$D$19,"OK","NOT OK"))</f>
        <v>OK</v>
      </c>
      <c r="M41" s="3"/>
      <c r="N41" s="51" t="str">
        <f>IF(N40&lt;0,IF(ABS(N40)&lt;=N$26,"OK","NOT OK"),IF(N40&lt;=$D$19,"OK","NOT OK"))</f>
        <v>OK</v>
      </c>
      <c r="O41" s="51" t="str">
        <f>IF(O40&lt;0,IF(ABS(O40)&lt;=O$26,"OK","NOT OK"),IF(O40&lt;=$D$19,"OK","NOT OK"))</f>
        <v>OK</v>
      </c>
      <c r="P41" s="51" t="str">
        <f>IF(P40&lt;0,IF(ABS(P40)&lt;=P$26,"OK","NOT OK"),IF(P40&lt;=$D$19,"OK","NOT OK"))</f>
        <v>OK</v>
      </c>
      <c r="R41" s="51" t="str">
        <f>IF(R40&lt;0,IF(ABS(R40)&lt;=R$26,"OK","NOT OK"),IF(R40&lt;=$D$19,"OK","NOT OK"))</f>
        <v>OK</v>
      </c>
      <c r="S41" s="51" t="str">
        <f>IF(S40&lt;0,IF(ABS(S40)&lt;=S$26,"OK","NOT OK"),IF(S40&lt;=$D$19,"OK","NOT OK"))</f>
        <v>OK</v>
      </c>
      <c r="T41" s="51" t="str">
        <f>IF(T40&lt;0,IF(ABS(T40)&lt;=T$26,"OK","NOT OK"),IF(T40&lt;=$D$19,"OK","NOT OK"))</f>
        <v>OK</v>
      </c>
      <c r="U41" s="3"/>
      <c r="V41" s="3"/>
    </row>
    <row r="42" spans="3:22" x14ac:dyDescent="0.25">
      <c r="C42" s="2"/>
      <c r="D42" s="51"/>
      <c r="H42" s="3"/>
      <c r="J42" s="51"/>
      <c r="L42" s="3"/>
      <c r="M42" s="3"/>
      <c r="N42" s="3"/>
      <c r="O42" s="3"/>
      <c r="P42" s="51"/>
      <c r="R42" s="3"/>
      <c r="S42" s="3"/>
      <c r="T42" s="3"/>
      <c r="U42" s="3"/>
      <c r="V42" s="3"/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C9875-3DC1-4E5F-8B91-28B10A142E6E}">
  <dimension ref="B1:V101"/>
  <sheetViews>
    <sheetView topLeftCell="A16" zoomScale="55" zoomScaleNormal="55" workbookViewId="0">
      <selection activeCell="M12" sqref="M12"/>
    </sheetView>
  </sheetViews>
  <sheetFormatPr defaultRowHeight="15" x14ac:dyDescent="0.25"/>
  <cols>
    <col min="1" max="1" width="1.5703125" customWidth="1"/>
    <col min="5" max="5" width="9.140625" customWidth="1"/>
    <col min="6" max="10" width="9.140625" style="3" customWidth="1"/>
    <col min="11" max="11" width="9.140625" style="3"/>
    <col min="12" max="12" width="9.140625" style="3" customWidth="1"/>
    <col min="13" max="13" width="3.28515625" style="3" customWidth="1"/>
    <col min="14" max="16" width="9.140625" customWidth="1"/>
    <col min="17" max="17" width="9.140625" style="3" customWidth="1"/>
    <col min="18" max="18" width="9.140625" style="3"/>
    <col min="19" max="22" width="9.140625" style="3" customWidth="1"/>
  </cols>
  <sheetData>
    <row r="1" spans="2:11" ht="8.1" customHeight="1" x14ac:dyDescent="0.25"/>
    <row r="2" spans="2:11" ht="18.75" x14ac:dyDescent="0.3">
      <c r="B2" s="30" t="s">
        <v>253</v>
      </c>
      <c r="C2" s="29"/>
      <c r="D2" s="29"/>
      <c r="E2" s="29"/>
      <c r="F2" s="49"/>
      <c r="G2" s="49"/>
      <c r="H2" s="49"/>
      <c r="I2" s="49"/>
      <c r="J2" s="49"/>
      <c r="K2" s="69"/>
    </row>
    <row r="4" spans="2:11" x14ac:dyDescent="0.25">
      <c r="B4" s="14" t="s">
        <v>220</v>
      </c>
    </row>
    <row r="5" spans="2:11" x14ac:dyDescent="0.25">
      <c r="B5" t="s">
        <v>200</v>
      </c>
    </row>
    <row r="6" spans="2:11" x14ac:dyDescent="0.25">
      <c r="B6" t="s">
        <v>231</v>
      </c>
    </row>
    <row r="7" spans="2:11" x14ac:dyDescent="0.25">
      <c r="B7" s="14" t="s">
        <v>229</v>
      </c>
    </row>
    <row r="8" spans="2:11" x14ac:dyDescent="0.25">
      <c r="B8" s="14" t="s">
        <v>292</v>
      </c>
    </row>
    <row r="9" spans="2:11" x14ac:dyDescent="0.25">
      <c r="B9" s="14" t="s">
        <v>245</v>
      </c>
    </row>
    <row r="10" spans="2:11" x14ac:dyDescent="0.25">
      <c r="B10" t="s">
        <v>233</v>
      </c>
    </row>
    <row r="11" spans="2:11" x14ac:dyDescent="0.25">
      <c r="B11" s="14" t="s">
        <v>246</v>
      </c>
    </row>
    <row r="14" spans="2:11" ht="18.75" customHeight="1" x14ac:dyDescent="0.25">
      <c r="B14" s="66" t="s">
        <v>252</v>
      </c>
      <c r="C14" s="9"/>
      <c r="D14" s="9"/>
      <c r="F14" s="49"/>
      <c r="G14" s="67" t="s">
        <v>2</v>
      </c>
      <c r="H14" s="49"/>
    </row>
    <row r="16" spans="2:11" ht="18" x14ac:dyDescent="0.35">
      <c r="C16" s="40" t="s">
        <v>99</v>
      </c>
      <c r="F16" s="2">
        <f>'Sand.panel_t-1,0'!H36</f>
        <v>1</v>
      </c>
      <c r="G16" t="s">
        <v>113</v>
      </c>
    </row>
    <row r="17" spans="3:22" x14ac:dyDescent="0.25">
      <c r="C17" s="82" t="s">
        <v>296</v>
      </c>
      <c r="D17" s="82"/>
      <c r="E17" s="83"/>
      <c r="F17" s="2">
        <v>6</v>
      </c>
      <c r="G17" t="s">
        <v>113</v>
      </c>
      <c r="I17" s="3" t="s">
        <v>213</v>
      </c>
      <c r="J17" s="63" t="s">
        <v>214</v>
      </c>
      <c r="K17" s="50" t="s">
        <v>239</v>
      </c>
      <c r="L17" s="79" t="s">
        <v>215</v>
      </c>
      <c r="M17"/>
    </row>
    <row r="18" spans="3:22" ht="17.25" x14ac:dyDescent="0.25">
      <c r="C18" s="82" t="s">
        <v>295</v>
      </c>
      <c r="D18" s="82"/>
      <c r="E18" s="82"/>
      <c r="F18" s="3">
        <f>PI()*F17^2/4</f>
        <v>28.274333882308138</v>
      </c>
      <c r="G18" t="s">
        <v>297</v>
      </c>
      <c r="J18" s="79" t="s">
        <v>298</v>
      </c>
      <c r="K18" s="50" t="s">
        <v>240</v>
      </c>
      <c r="M18"/>
    </row>
    <row r="19" spans="3:22" x14ac:dyDescent="0.25">
      <c r="H19" s="79"/>
      <c r="I19" s="50"/>
    </row>
    <row r="20" spans="3:22" ht="18" x14ac:dyDescent="0.35">
      <c r="D20" s="41" t="s">
        <v>101</v>
      </c>
      <c r="E20" s="2">
        <f>'Sand.panel_t-1,0'!H32</f>
        <v>3</v>
      </c>
      <c r="F20" t="s">
        <v>113</v>
      </c>
    </row>
    <row r="22" spans="3:22" ht="18" x14ac:dyDescent="0.35">
      <c r="D22" s="64" t="s">
        <v>153</v>
      </c>
      <c r="E22" s="65">
        <f>'Sand.panel_t-1,0'!$H22</f>
        <v>1232</v>
      </c>
      <c r="F22" s="3" t="s">
        <v>232</v>
      </c>
      <c r="G22" s="3" t="s">
        <v>222</v>
      </c>
      <c r="H22" s="3" t="s">
        <v>223</v>
      </c>
      <c r="I22" s="3" t="s">
        <v>224</v>
      </c>
      <c r="J22" s="3" t="s">
        <v>225</v>
      </c>
      <c r="K22" s="3" t="s">
        <v>226</v>
      </c>
      <c r="L22" s="3" t="s">
        <v>227</v>
      </c>
      <c r="N22" s="64" t="s">
        <v>153</v>
      </c>
      <c r="O22" s="65">
        <f>'Sand.panel_t-1,0'!$H22</f>
        <v>1232</v>
      </c>
      <c r="P22" s="3" t="s">
        <v>232</v>
      </c>
      <c r="Q22" s="3" t="s">
        <v>222</v>
      </c>
      <c r="R22" s="3" t="s">
        <v>223</v>
      </c>
      <c r="S22" s="3" t="s">
        <v>224</v>
      </c>
      <c r="T22" s="3" t="s">
        <v>225</v>
      </c>
      <c r="U22" s="3" t="s">
        <v>226</v>
      </c>
      <c r="V22" s="3" t="s">
        <v>227</v>
      </c>
    </row>
    <row r="23" spans="3:22" x14ac:dyDescent="0.25">
      <c r="D23" t="s">
        <v>228</v>
      </c>
      <c r="E23" s="3" t="s">
        <v>234</v>
      </c>
      <c r="F23" s="11">
        <v>653</v>
      </c>
      <c r="G23" s="3">
        <v>-0.49</v>
      </c>
      <c r="H23" s="3">
        <v>-0.69</v>
      </c>
      <c r="I23" s="3">
        <v>-0.54</v>
      </c>
      <c r="J23" s="3">
        <v>0.23</v>
      </c>
      <c r="K23" s="3">
        <v>-0.28000000000000003</v>
      </c>
      <c r="L23" s="3">
        <v>0.16</v>
      </c>
      <c r="N23" t="s">
        <v>228</v>
      </c>
      <c r="O23" s="3" t="s">
        <v>248</v>
      </c>
      <c r="P23" s="11">
        <v>430</v>
      </c>
      <c r="Q23" s="3">
        <v>0.93</v>
      </c>
      <c r="R23" s="3">
        <v>-1.28</v>
      </c>
      <c r="S23" s="3">
        <v>0.98</v>
      </c>
      <c r="T23" s="3">
        <v>0.24</v>
      </c>
      <c r="U23" s="3">
        <v>0.28999999999999998</v>
      </c>
      <c r="V23" s="3">
        <v>0.15</v>
      </c>
    </row>
    <row r="24" spans="3:22" x14ac:dyDescent="0.25">
      <c r="D24" t="s">
        <v>221</v>
      </c>
      <c r="E24" s="11">
        <v>386</v>
      </c>
      <c r="F24" s="11">
        <v>654</v>
      </c>
      <c r="G24" s="3">
        <v>1.04</v>
      </c>
      <c r="H24" s="3">
        <v>-1.41</v>
      </c>
      <c r="I24" s="3">
        <v>1.06</v>
      </c>
      <c r="J24" s="3">
        <v>0.25</v>
      </c>
      <c r="K24" s="3">
        <v>0.1</v>
      </c>
      <c r="L24" s="3">
        <v>0.11</v>
      </c>
      <c r="N24" t="s">
        <v>221</v>
      </c>
      <c r="O24" s="11">
        <v>273</v>
      </c>
      <c r="P24" s="11">
        <v>433</v>
      </c>
      <c r="Q24" s="3">
        <v>-1.1599999999999999</v>
      </c>
      <c r="R24" s="3">
        <v>-1.58</v>
      </c>
      <c r="S24" s="3">
        <v>1.19</v>
      </c>
      <c r="T24" s="3">
        <v>0.28999999999999998</v>
      </c>
      <c r="U24" s="3">
        <v>-0.18</v>
      </c>
      <c r="V24" s="3">
        <v>0.04</v>
      </c>
    </row>
    <row r="25" spans="3:22" x14ac:dyDescent="0.25">
      <c r="E25" s="3"/>
      <c r="F25" s="11">
        <v>655</v>
      </c>
      <c r="G25" s="3">
        <v>1.3</v>
      </c>
      <c r="H25" s="3">
        <v>1.76</v>
      </c>
      <c r="I25" s="3">
        <v>-1.31</v>
      </c>
      <c r="J25" s="3">
        <v>0.17</v>
      </c>
      <c r="K25" s="3">
        <v>-0.09</v>
      </c>
      <c r="L25" s="3">
        <v>0.04</v>
      </c>
      <c r="O25" s="3"/>
      <c r="P25" s="11">
        <v>650</v>
      </c>
      <c r="Q25" s="3">
        <v>-1.22</v>
      </c>
      <c r="R25" s="3">
        <v>1.65</v>
      </c>
      <c r="S25" s="3">
        <v>1.25</v>
      </c>
      <c r="T25" s="3">
        <v>0.25</v>
      </c>
      <c r="U25" s="3">
        <v>0.17</v>
      </c>
      <c r="V25" s="3">
        <v>0.02</v>
      </c>
    </row>
    <row r="26" spans="3:22" x14ac:dyDescent="0.25">
      <c r="E26" s="3"/>
      <c r="F26" s="11">
        <v>656</v>
      </c>
      <c r="G26" s="3">
        <v>-0.24</v>
      </c>
      <c r="H26" s="3">
        <v>0.35</v>
      </c>
      <c r="I26" s="3">
        <v>-0.28999999999999998</v>
      </c>
      <c r="J26" s="3">
        <v>0.27</v>
      </c>
      <c r="K26" s="3">
        <v>0.28000000000000003</v>
      </c>
      <c r="L26" s="3">
        <v>0.12</v>
      </c>
      <c r="O26" s="3"/>
      <c r="P26" s="11">
        <v>653</v>
      </c>
      <c r="Q26" s="3">
        <v>0.49</v>
      </c>
      <c r="R26" s="3">
        <v>0.69</v>
      </c>
      <c r="S26" s="3">
        <v>0.54</v>
      </c>
      <c r="T26" s="3">
        <v>0.33</v>
      </c>
      <c r="U26" s="3">
        <v>-0.28000000000000003</v>
      </c>
      <c r="V26" s="3">
        <v>0.06</v>
      </c>
    </row>
    <row r="27" spans="3:22" x14ac:dyDescent="0.25">
      <c r="E27" s="3"/>
      <c r="F27" s="81" t="s">
        <v>293</v>
      </c>
      <c r="G27" s="85">
        <f>G23+G24+G25+G26</f>
        <v>1.61</v>
      </c>
      <c r="H27" s="85">
        <f t="shared" ref="H27" si="0">H23+H24+H25+H26</f>
        <v>1.0000000000000342E-2</v>
      </c>
      <c r="I27" s="85">
        <f t="shared" ref="I27" si="1">I23+I24+I25+I26</f>
        <v>-1.08</v>
      </c>
      <c r="J27" s="85">
        <f t="shared" ref="J27" si="2">J23+J24+J25+J26</f>
        <v>0.92</v>
      </c>
      <c r="K27" s="85">
        <f t="shared" ref="K27" si="3">K23+K24+K25+K26</f>
        <v>1.0000000000000009E-2</v>
      </c>
      <c r="L27" s="85">
        <f t="shared" ref="L27" si="4">L23+L24+L25+L26</f>
        <v>0.43</v>
      </c>
      <c r="O27" s="3"/>
      <c r="P27" s="81" t="s">
        <v>293</v>
      </c>
      <c r="Q27" s="85">
        <f>Q23+Q24+Q25+Q26</f>
        <v>-0.95999999999999974</v>
      </c>
      <c r="R27" s="85">
        <f t="shared" ref="R27" si="5">R23+R24+R25+R26</f>
        <v>-0.52000000000000046</v>
      </c>
      <c r="S27" s="85">
        <f t="shared" ref="S27" si="6">S23+S24+S25+S26</f>
        <v>3.96</v>
      </c>
      <c r="T27" s="85">
        <f t="shared" ref="T27" si="7">T23+T24+T25+T26</f>
        <v>1.1100000000000001</v>
      </c>
      <c r="U27" s="85">
        <f t="shared" ref="U27" si="8">U23+U24+U25+U26</f>
        <v>0</v>
      </c>
      <c r="V27" s="85">
        <f t="shared" ref="V27" si="9">V23+V24+V25+V26</f>
        <v>0.27</v>
      </c>
    </row>
    <row r="28" spans="3:22" x14ac:dyDescent="0.25">
      <c r="E28" s="3"/>
      <c r="F28" s="81" t="s">
        <v>294</v>
      </c>
      <c r="G28" s="3">
        <f>(G27^2+I27^2)^0.5/$F$18</f>
        <v>6.8566960038239352E-2</v>
      </c>
      <c r="O28" s="3"/>
      <c r="P28" s="81" t="s">
        <v>294</v>
      </c>
      <c r="Q28" s="3">
        <f>(Q27^2+S27^2)^0.5/$F$18</f>
        <v>0.14411311898928747</v>
      </c>
    </row>
    <row r="29" spans="3:22" x14ac:dyDescent="0.25">
      <c r="E29" s="3"/>
      <c r="F29" s="81" t="s">
        <v>299</v>
      </c>
      <c r="G29" s="3">
        <f>H27/$F$18</f>
        <v>3.536776513153351E-4</v>
      </c>
      <c r="O29" s="3"/>
      <c r="P29" s="81" t="s">
        <v>299</v>
      </c>
      <c r="Q29" s="3">
        <f>R27/$F$18</f>
        <v>-1.8391237868396811E-2</v>
      </c>
    </row>
    <row r="30" spans="3:22" x14ac:dyDescent="0.25">
      <c r="D30" t="s">
        <v>228</v>
      </c>
      <c r="E30" s="3" t="s">
        <v>236</v>
      </c>
      <c r="F30" s="11">
        <v>1969</v>
      </c>
      <c r="G30" s="3">
        <v>0.17</v>
      </c>
      <c r="H30" s="3">
        <v>0.18</v>
      </c>
      <c r="I30" s="3">
        <v>0.09</v>
      </c>
      <c r="J30" s="3">
        <v>0.28000000000000003</v>
      </c>
      <c r="K30" s="3">
        <v>-0.47</v>
      </c>
      <c r="L30" s="3">
        <v>0.37</v>
      </c>
      <c r="N30" t="s">
        <v>228</v>
      </c>
      <c r="O30" s="3" t="s">
        <v>249</v>
      </c>
      <c r="P30" s="11">
        <v>1738</v>
      </c>
      <c r="Q30" s="3">
        <v>0.48</v>
      </c>
      <c r="R30" s="3">
        <v>-0.71</v>
      </c>
      <c r="S30" s="3">
        <v>0.56999999999999995</v>
      </c>
      <c r="T30" s="3">
        <v>0.34</v>
      </c>
      <c r="U30" s="3">
        <v>0.49</v>
      </c>
      <c r="V30" s="3">
        <v>0.33</v>
      </c>
    </row>
    <row r="31" spans="3:22" x14ac:dyDescent="0.25">
      <c r="D31" t="s">
        <v>221</v>
      </c>
      <c r="E31" s="11">
        <v>1050</v>
      </c>
      <c r="F31" s="11">
        <v>1970</v>
      </c>
      <c r="G31" s="3">
        <v>2</v>
      </c>
      <c r="H31" s="3">
        <v>-2.68</v>
      </c>
      <c r="I31" s="3">
        <v>-2</v>
      </c>
      <c r="J31" s="3">
        <v>0.23</v>
      </c>
      <c r="K31" s="3">
        <v>-0.04</v>
      </c>
      <c r="L31" s="3">
        <v>0.28999999999999998</v>
      </c>
      <c r="N31" t="s">
        <v>221</v>
      </c>
      <c r="O31" s="11">
        <v>933</v>
      </c>
      <c r="P31" s="11">
        <v>1741</v>
      </c>
      <c r="Q31" s="3">
        <v>-2.14</v>
      </c>
      <c r="R31" s="3">
        <v>-2.89</v>
      </c>
      <c r="S31" s="3">
        <v>2.16</v>
      </c>
      <c r="T31" s="3">
        <v>0.3</v>
      </c>
      <c r="U31" s="3">
        <v>-0.09</v>
      </c>
      <c r="V31" s="3">
        <v>0.18</v>
      </c>
    </row>
    <row r="32" spans="3:22" x14ac:dyDescent="0.25">
      <c r="E32" s="3"/>
      <c r="F32" s="11">
        <v>1971</v>
      </c>
      <c r="G32" s="3">
        <v>2.12</v>
      </c>
      <c r="H32" s="3">
        <v>2.85</v>
      </c>
      <c r="I32" s="3">
        <v>-2.11</v>
      </c>
      <c r="J32" s="3">
        <v>0.18</v>
      </c>
      <c r="K32" s="3">
        <v>0.04</v>
      </c>
      <c r="L32" s="3">
        <v>0.24</v>
      </c>
      <c r="O32" s="3"/>
      <c r="P32" s="11">
        <v>1958</v>
      </c>
      <c r="Q32" s="3">
        <v>-2.0699999999999998</v>
      </c>
      <c r="R32" s="3">
        <v>2.79</v>
      </c>
      <c r="S32" s="3">
        <v>2.09</v>
      </c>
      <c r="T32" s="3">
        <v>0.3</v>
      </c>
      <c r="U32" s="3">
        <v>0.09</v>
      </c>
      <c r="V32" s="3">
        <v>0.17</v>
      </c>
    </row>
    <row r="33" spans="4:22" x14ac:dyDescent="0.25">
      <c r="E33" s="3"/>
      <c r="F33" s="11">
        <v>1972</v>
      </c>
      <c r="G33" s="3">
        <v>0.28999999999999998</v>
      </c>
      <c r="H33" s="3">
        <v>-0.33</v>
      </c>
      <c r="I33" s="3">
        <v>0.21</v>
      </c>
      <c r="J33" s="3">
        <v>0.32</v>
      </c>
      <c r="K33" s="3">
        <v>0.48</v>
      </c>
      <c r="L33" s="3">
        <v>0.32</v>
      </c>
      <c r="O33" s="3"/>
      <c r="P33" s="11">
        <v>1961</v>
      </c>
      <c r="Q33" s="3">
        <v>0.21</v>
      </c>
      <c r="R33" s="3">
        <v>0.34</v>
      </c>
      <c r="S33" s="3">
        <v>0.3</v>
      </c>
      <c r="T33" s="3">
        <v>0.33</v>
      </c>
      <c r="U33" s="3">
        <v>-0.49</v>
      </c>
      <c r="V33" s="3">
        <v>0.33</v>
      </c>
    </row>
    <row r="34" spans="4:22" x14ac:dyDescent="0.25">
      <c r="E34" s="3"/>
      <c r="F34" s="81" t="s">
        <v>293</v>
      </c>
      <c r="G34" s="85">
        <f>G30+G31+G32+G33</f>
        <v>4.58</v>
      </c>
      <c r="H34" s="85">
        <f t="shared" ref="H34" si="10">H30+H31+H32+H33</f>
        <v>2.0000000000000073E-2</v>
      </c>
      <c r="I34" s="85">
        <f t="shared" ref="I34" si="11">I30+I31+I32+I33</f>
        <v>-3.8099999999999996</v>
      </c>
      <c r="J34" s="85">
        <f t="shared" ref="J34" si="12">J30+J31+J32+J33</f>
        <v>1.01</v>
      </c>
      <c r="K34" s="85">
        <f t="shared" ref="K34" si="13">K30+K31+K32+K33</f>
        <v>9.9999999999999534E-3</v>
      </c>
      <c r="L34" s="85">
        <f t="shared" ref="L34" si="14">L30+L31+L32+L33</f>
        <v>1.22</v>
      </c>
      <c r="O34" s="3"/>
      <c r="P34" s="81" t="s">
        <v>293</v>
      </c>
      <c r="Q34" s="85">
        <f>Q30+Q31+Q32+Q33</f>
        <v>-3.52</v>
      </c>
      <c r="R34" s="85">
        <f t="shared" ref="R34" si="15">R30+R31+R32+R33</f>
        <v>-0.47000000000000003</v>
      </c>
      <c r="S34" s="85">
        <f t="shared" ref="S34" si="16">S30+S31+S32+S33</f>
        <v>5.12</v>
      </c>
      <c r="T34" s="85">
        <f t="shared" ref="T34" si="17">T30+T31+T32+T33</f>
        <v>1.27</v>
      </c>
      <c r="U34" s="85">
        <f t="shared" ref="U34" si="18">U30+U31+U32+U33</f>
        <v>0</v>
      </c>
      <c r="V34" s="85">
        <f t="shared" ref="V34" si="19">V30+V31+V32+V33</f>
        <v>1.01</v>
      </c>
    </row>
    <row r="35" spans="4:22" x14ac:dyDescent="0.25">
      <c r="E35" s="3"/>
      <c r="F35" s="81" t="s">
        <v>294</v>
      </c>
      <c r="G35" s="3">
        <f>(G34^2+I34^2)^0.5/$F$18</f>
        <v>0.21070552004656817</v>
      </c>
      <c r="O35" s="3"/>
      <c r="P35" s="81" t="s">
        <v>294</v>
      </c>
      <c r="Q35" s="3">
        <f>(Q34^2+S34^2)^0.5/$F$18</f>
        <v>0.21974969010148857</v>
      </c>
    </row>
    <row r="36" spans="4:22" x14ac:dyDescent="0.25">
      <c r="E36" s="3"/>
      <c r="F36" s="81" t="s">
        <v>299</v>
      </c>
      <c r="G36" s="3">
        <f>H34/$F$18</f>
        <v>7.0735530263064852E-4</v>
      </c>
      <c r="O36" s="3"/>
      <c r="P36" s="81" t="s">
        <v>299</v>
      </c>
      <c r="Q36" s="3">
        <f>R34/$F$18</f>
        <v>-1.662284961182018E-2</v>
      </c>
    </row>
    <row r="37" spans="4:22" x14ac:dyDescent="0.25">
      <c r="D37" t="s">
        <v>228</v>
      </c>
      <c r="E37" s="3" t="s">
        <v>237</v>
      </c>
      <c r="F37" s="11">
        <v>3055</v>
      </c>
      <c r="G37" s="3">
        <v>0.01</v>
      </c>
      <c r="H37" s="3">
        <v>-0.04</v>
      </c>
      <c r="I37" s="3">
        <v>-7.0000000000000007E-2</v>
      </c>
      <c r="J37" s="3">
        <v>0.3</v>
      </c>
      <c r="K37" s="3">
        <v>-0.46</v>
      </c>
      <c r="L37" s="3">
        <v>0.34</v>
      </c>
      <c r="N37" t="s">
        <v>228</v>
      </c>
      <c r="O37" s="3" t="s">
        <v>250</v>
      </c>
      <c r="P37" s="11">
        <v>3050</v>
      </c>
      <c r="Q37" s="3">
        <v>0.2</v>
      </c>
      <c r="R37" s="3">
        <v>-0.33</v>
      </c>
      <c r="S37" s="3">
        <v>0.28999999999999998</v>
      </c>
      <c r="T37" s="3">
        <v>0.28000000000000003</v>
      </c>
      <c r="U37" s="3">
        <v>0.45</v>
      </c>
      <c r="V37" s="3">
        <v>0.33</v>
      </c>
    </row>
    <row r="38" spans="4:22" x14ac:dyDescent="0.25">
      <c r="D38" t="s">
        <v>221</v>
      </c>
      <c r="E38" s="11">
        <v>1598</v>
      </c>
      <c r="F38" s="11">
        <v>3056</v>
      </c>
      <c r="G38" s="3">
        <v>1.98</v>
      </c>
      <c r="H38" s="3">
        <v>-2.66</v>
      </c>
      <c r="I38" s="3">
        <v>-1.98</v>
      </c>
      <c r="J38" s="3">
        <v>0.24</v>
      </c>
      <c r="K38" s="3">
        <v>0</v>
      </c>
      <c r="L38" s="3">
        <v>0.24</v>
      </c>
      <c r="N38" t="s">
        <v>221</v>
      </c>
      <c r="O38" s="11">
        <v>1595</v>
      </c>
      <c r="P38" s="11">
        <v>3053</v>
      </c>
      <c r="Q38" s="3">
        <v>-2</v>
      </c>
      <c r="R38" s="3">
        <v>-2.69</v>
      </c>
      <c r="S38" s="3">
        <v>2</v>
      </c>
      <c r="T38" s="3">
        <v>0.23</v>
      </c>
      <c r="U38" s="3">
        <v>-0.03</v>
      </c>
      <c r="V38" s="3">
        <v>0.19</v>
      </c>
    </row>
    <row r="39" spans="4:22" x14ac:dyDescent="0.25">
      <c r="E39" s="3"/>
      <c r="F39" s="11">
        <v>3057</v>
      </c>
      <c r="G39" s="3">
        <v>2.0299999999999998</v>
      </c>
      <c r="H39" s="3">
        <v>2.73</v>
      </c>
      <c r="I39" s="3">
        <v>-2.0299999999999998</v>
      </c>
      <c r="J39" s="3">
        <v>0.22</v>
      </c>
      <c r="K39" s="3">
        <v>0</v>
      </c>
      <c r="L39" s="3">
        <v>0.22</v>
      </c>
      <c r="O39" s="3"/>
      <c r="P39" s="11">
        <v>3270</v>
      </c>
      <c r="Q39" s="3">
        <v>-1.87</v>
      </c>
      <c r="R39" s="3">
        <v>2.5099999999999998</v>
      </c>
      <c r="S39" s="3">
        <v>1.88</v>
      </c>
      <c r="T39" s="3">
        <v>0.26</v>
      </c>
      <c r="U39" s="3">
        <v>0.03</v>
      </c>
      <c r="V39" s="3">
        <v>0.21</v>
      </c>
    </row>
    <row r="40" spans="4:22" x14ac:dyDescent="0.25">
      <c r="E40" s="3"/>
      <c r="F40" s="11">
        <v>3058</v>
      </c>
      <c r="G40" s="3">
        <v>7.0000000000000007E-2</v>
      </c>
      <c r="H40" s="3">
        <v>-0.03</v>
      </c>
      <c r="I40" s="3">
        <v>-0.02</v>
      </c>
      <c r="J40" s="3">
        <v>0.34</v>
      </c>
      <c r="K40" s="3">
        <v>0.46</v>
      </c>
      <c r="L40" s="3">
        <v>0.28999999999999998</v>
      </c>
      <c r="O40" s="3"/>
      <c r="P40" s="11">
        <v>3273</v>
      </c>
      <c r="Q40" s="3">
        <v>-0.01</v>
      </c>
      <c r="R40" s="3">
        <v>0.03</v>
      </c>
      <c r="S40" s="3">
        <v>7.0000000000000007E-2</v>
      </c>
      <c r="T40" s="3">
        <v>0.36</v>
      </c>
      <c r="U40" s="3">
        <v>-0.45</v>
      </c>
      <c r="V40" s="3">
        <v>0.25</v>
      </c>
    </row>
    <row r="41" spans="4:22" x14ac:dyDescent="0.25">
      <c r="E41" s="3"/>
      <c r="F41" s="81" t="s">
        <v>293</v>
      </c>
      <c r="G41" s="85">
        <f>G37+G38+G39+G40</f>
        <v>4.09</v>
      </c>
      <c r="H41" s="85">
        <f t="shared" ref="H41" si="20">H37+H38+H39+H40</f>
        <v>-1.9428902930940239E-16</v>
      </c>
      <c r="I41" s="85">
        <f t="shared" ref="I41" si="21">I37+I38+I39+I40</f>
        <v>-4.0999999999999996</v>
      </c>
      <c r="J41" s="85">
        <f t="shared" ref="J41" si="22">J37+J38+J39+J40</f>
        <v>1.1000000000000001</v>
      </c>
      <c r="K41" s="85">
        <f t="shared" ref="K41" si="23">K37+K38+K39+K40</f>
        <v>0</v>
      </c>
      <c r="L41" s="85">
        <f t="shared" ref="L41" si="24">L37+L38+L39+L40</f>
        <v>1.0900000000000001</v>
      </c>
      <c r="O41" s="3"/>
      <c r="P41" s="81" t="s">
        <v>293</v>
      </c>
      <c r="Q41" s="85">
        <f>Q37+Q38+Q39+Q40</f>
        <v>-3.6799999999999997</v>
      </c>
      <c r="R41" s="85">
        <f t="shared" ref="R41" si="25">R37+R38+R39+R40</f>
        <v>-0.4800000000000002</v>
      </c>
      <c r="S41" s="85">
        <f t="shared" ref="S41" si="26">S37+S38+S39+S40</f>
        <v>4.24</v>
      </c>
      <c r="T41" s="85">
        <f t="shared" ref="T41" si="27">T37+T38+T39+T40</f>
        <v>1.1299999999999999</v>
      </c>
      <c r="U41" s="85">
        <f t="shared" ref="U41" si="28">U37+U38+U39+U40</f>
        <v>0</v>
      </c>
      <c r="V41" s="85">
        <f t="shared" ref="V41" si="29">V37+V38+V39+V40</f>
        <v>0.98</v>
      </c>
    </row>
    <row r="42" spans="4:22" x14ac:dyDescent="0.25">
      <c r="E42" s="3"/>
      <c r="F42" s="81" t="s">
        <v>294</v>
      </c>
      <c r="G42" s="3">
        <f>(G41^2+I41^2)^0.5/$F$18</f>
        <v>0.20482211460447936</v>
      </c>
      <c r="O42" s="3"/>
      <c r="P42" s="81" t="s">
        <v>294</v>
      </c>
      <c r="Q42" s="3">
        <f>(Q41^2+S41^2)^0.5/$F$18</f>
        <v>0.19856409570661002</v>
      </c>
    </row>
    <row r="43" spans="4:22" x14ac:dyDescent="0.25">
      <c r="E43" s="3"/>
      <c r="F43" s="81" t="s">
        <v>299</v>
      </c>
      <c r="G43" s="3">
        <f>H41/$F$18</f>
        <v>-6.8715687562483384E-18</v>
      </c>
      <c r="O43" s="3"/>
      <c r="P43" s="81" t="s">
        <v>299</v>
      </c>
      <c r="Q43" s="3">
        <f>R41/$F$18</f>
        <v>-1.6976527263135512E-2</v>
      </c>
    </row>
    <row r="44" spans="4:22" x14ac:dyDescent="0.25">
      <c r="D44" t="s">
        <v>228</v>
      </c>
      <c r="E44" s="3" t="s">
        <v>238</v>
      </c>
      <c r="F44" s="11">
        <v>4145</v>
      </c>
      <c r="G44" s="3">
        <v>1.9E-2</v>
      </c>
      <c r="H44" s="3">
        <v>-1.4E-2</v>
      </c>
      <c r="I44" s="3">
        <v>-0.04</v>
      </c>
      <c r="J44" s="3">
        <v>0.22</v>
      </c>
      <c r="K44" s="3">
        <v>-0.35</v>
      </c>
      <c r="L44" s="3">
        <v>0.26</v>
      </c>
      <c r="N44" t="s">
        <v>228</v>
      </c>
      <c r="O44" s="3" t="s">
        <v>251</v>
      </c>
      <c r="P44" s="11">
        <v>4354</v>
      </c>
      <c r="Q44" s="3">
        <v>0.26589000000000002</v>
      </c>
      <c r="R44" s="3">
        <v>-0.39</v>
      </c>
      <c r="S44" s="3">
        <v>0.31</v>
      </c>
      <c r="T44" s="3">
        <v>0.17</v>
      </c>
      <c r="U44" s="3">
        <v>0.27</v>
      </c>
      <c r="V44" s="3">
        <v>0.2</v>
      </c>
    </row>
    <row r="45" spans="4:22" x14ac:dyDescent="0.25">
      <c r="D45" t="s">
        <v>221</v>
      </c>
      <c r="E45" s="11">
        <v>2148</v>
      </c>
      <c r="F45" s="11">
        <v>4146</v>
      </c>
      <c r="G45" s="3">
        <v>1.4970000000000001</v>
      </c>
      <c r="H45" s="3">
        <v>-2.0099999999999998</v>
      </c>
      <c r="I45" s="3">
        <v>-1.45</v>
      </c>
      <c r="J45" s="3">
        <v>0.17</v>
      </c>
      <c r="K45" s="3">
        <v>0.23</v>
      </c>
      <c r="L45" s="3">
        <v>0.17</v>
      </c>
      <c r="N45" t="s">
        <v>221</v>
      </c>
      <c r="O45" s="11">
        <v>2253</v>
      </c>
      <c r="P45" s="11">
        <v>4357</v>
      </c>
      <c r="Q45" s="3">
        <v>-1.24</v>
      </c>
      <c r="R45" s="3">
        <v>-1.67</v>
      </c>
      <c r="S45" s="3">
        <v>1.25</v>
      </c>
      <c r="T45" s="3">
        <v>0.13</v>
      </c>
      <c r="U45" s="3">
        <v>-0.05</v>
      </c>
      <c r="V45" s="3">
        <v>7.0000000000000007E-2</v>
      </c>
    </row>
    <row r="46" spans="4:22" x14ac:dyDescent="0.25">
      <c r="E46" s="3"/>
      <c r="F46" s="11">
        <v>4147</v>
      </c>
      <c r="G46" s="3">
        <v>1.5189999999999999</v>
      </c>
      <c r="H46" s="3">
        <v>2.04</v>
      </c>
      <c r="I46" s="3">
        <v>-1.52</v>
      </c>
      <c r="J46" s="3">
        <v>0.18</v>
      </c>
      <c r="K46" s="3">
        <v>-0.25</v>
      </c>
      <c r="L46" s="3">
        <v>0.18</v>
      </c>
      <c r="O46" s="3"/>
      <c r="P46" s="11">
        <v>4574</v>
      </c>
      <c r="Q46" s="3">
        <v>-1.08</v>
      </c>
      <c r="R46" s="3">
        <v>1.45</v>
      </c>
      <c r="S46" s="3">
        <v>1.0900000000000001</v>
      </c>
      <c r="T46" s="3">
        <v>0.19</v>
      </c>
      <c r="U46" s="3">
        <v>0.04</v>
      </c>
      <c r="V46" s="3">
        <v>0.13</v>
      </c>
    </row>
    <row r="47" spans="4:22" x14ac:dyDescent="0.25">
      <c r="E47" s="3"/>
      <c r="F47" s="11">
        <v>4148</v>
      </c>
      <c r="G47" s="84">
        <v>0.04</v>
      </c>
      <c r="H47" s="84">
        <v>-0.01</v>
      </c>
      <c r="I47" s="84">
        <v>0.02</v>
      </c>
      <c r="J47" s="84">
        <v>0.26</v>
      </c>
      <c r="K47" s="84">
        <v>0.35</v>
      </c>
      <c r="L47" s="84">
        <v>0.22</v>
      </c>
      <c r="O47" s="3"/>
      <c r="P47" s="11">
        <v>4577</v>
      </c>
      <c r="Q47" s="3">
        <v>0.81</v>
      </c>
      <c r="R47" s="3">
        <v>0.14000000000000001</v>
      </c>
      <c r="S47" s="3">
        <v>0.13</v>
      </c>
      <c r="T47" s="3">
        <v>0.24</v>
      </c>
      <c r="U47" s="3">
        <v>-0.27</v>
      </c>
      <c r="V47" s="3">
        <v>0.12</v>
      </c>
    </row>
    <row r="48" spans="4:22" x14ac:dyDescent="0.25">
      <c r="E48" s="3"/>
      <c r="F48" s="81" t="s">
        <v>293</v>
      </c>
      <c r="G48" s="85">
        <f>G44+G45+G46+G47</f>
        <v>3.0750000000000002</v>
      </c>
      <c r="H48" s="85">
        <f t="shared" ref="H48:L48" si="30">H44+H45+H46+H47</f>
        <v>6.0000000000004581E-3</v>
      </c>
      <c r="I48" s="85">
        <f t="shared" si="30"/>
        <v>-2.9899999999999998</v>
      </c>
      <c r="J48" s="85">
        <f t="shared" si="30"/>
        <v>0.83000000000000007</v>
      </c>
      <c r="K48" s="85">
        <f t="shared" si="30"/>
        <v>-2.0000000000000018E-2</v>
      </c>
      <c r="L48" s="85">
        <f t="shared" si="30"/>
        <v>0.83000000000000007</v>
      </c>
      <c r="O48" s="3"/>
      <c r="P48" s="81" t="s">
        <v>293</v>
      </c>
      <c r="Q48" s="85">
        <f>Q44+Q45+Q46+Q47</f>
        <v>-1.24411</v>
      </c>
      <c r="R48" s="85">
        <f t="shared" ref="R48" si="31">R44+R45+R46+R47</f>
        <v>-0.47000000000000008</v>
      </c>
      <c r="S48" s="85">
        <f t="shared" ref="S48" si="32">S44+S45+S46+S47</f>
        <v>2.7800000000000002</v>
      </c>
      <c r="T48" s="85">
        <f t="shared" ref="T48" si="33">T44+T45+T46+T47</f>
        <v>0.73</v>
      </c>
      <c r="U48" s="85">
        <f t="shared" ref="U48" si="34">U44+U45+U46+U47</f>
        <v>-1.0000000000000009E-2</v>
      </c>
      <c r="V48" s="85">
        <f t="shared" ref="V48" si="35">V44+V45+V46+V47</f>
        <v>0.52</v>
      </c>
    </row>
    <row r="49" spans="4:22" x14ac:dyDescent="0.25">
      <c r="E49" s="3"/>
      <c r="F49" s="81" t="s">
        <v>294</v>
      </c>
      <c r="G49" s="3">
        <f>(G48^2+I48^2)^0.5/$F$18</f>
        <v>0.15169318575477084</v>
      </c>
      <c r="O49" s="3"/>
      <c r="P49" s="81" t="s">
        <v>294</v>
      </c>
      <c r="Q49" s="3">
        <f>(Q48^2+S48^2)^0.5/$F$18</f>
        <v>0.10771914474534171</v>
      </c>
    </row>
    <row r="50" spans="4:22" x14ac:dyDescent="0.25">
      <c r="E50" s="3"/>
      <c r="F50" s="81" t="s">
        <v>299</v>
      </c>
      <c r="G50" s="3">
        <f>H48/$F$18</f>
        <v>2.1220659078921E-4</v>
      </c>
      <c r="O50" s="3"/>
      <c r="P50" s="81" t="s">
        <v>299</v>
      </c>
      <c r="Q50" s="3">
        <f>R48/$F$18</f>
        <v>-1.6622849611820183E-2</v>
      </c>
    </row>
    <row r="53" spans="4:22" ht="18" x14ac:dyDescent="0.35">
      <c r="D53" s="41" t="s">
        <v>151</v>
      </c>
      <c r="E53" s="2">
        <f>'Sand.panel_t-1,0'!H35</f>
        <v>5</v>
      </c>
      <c r="F53" t="s">
        <v>113</v>
      </c>
    </row>
    <row r="55" spans="4:22" ht="18" x14ac:dyDescent="0.35">
      <c r="D55" s="64" t="s">
        <v>153</v>
      </c>
      <c r="E55" s="65">
        <f>'Sand.panel_t-1,0'!H$22</f>
        <v>1232</v>
      </c>
      <c r="F55" s="3" t="s">
        <v>232</v>
      </c>
      <c r="G55" s="3" t="s">
        <v>222</v>
      </c>
      <c r="H55" s="3" t="s">
        <v>223</v>
      </c>
      <c r="I55" s="3" t="s">
        <v>224</v>
      </c>
      <c r="J55" s="3" t="s">
        <v>225</v>
      </c>
      <c r="K55" s="3" t="s">
        <v>226</v>
      </c>
      <c r="L55" s="3" t="s">
        <v>227</v>
      </c>
      <c r="N55" s="64" t="s">
        <v>153</v>
      </c>
      <c r="O55" s="65">
        <f>'Sand.panel_t-1,0'!H$22</f>
        <v>1232</v>
      </c>
      <c r="P55" s="3" t="s">
        <v>232</v>
      </c>
      <c r="Q55" s="3" t="s">
        <v>222</v>
      </c>
      <c r="R55" s="3" t="s">
        <v>223</v>
      </c>
      <c r="S55" s="3" t="s">
        <v>224</v>
      </c>
      <c r="T55" s="3" t="s">
        <v>225</v>
      </c>
      <c r="U55" s="3" t="s">
        <v>226</v>
      </c>
      <c r="V55" s="3" t="s">
        <v>227</v>
      </c>
    </row>
    <row r="56" spans="4:22" x14ac:dyDescent="0.25">
      <c r="D56" t="s">
        <v>228</v>
      </c>
      <c r="E56" s="3" t="s">
        <v>234</v>
      </c>
      <c r="F56" s="11">
        <v>653</v>
      </c>
      <c r="G56" s="3">
        <v>-0.56000000000000005</v>
      </c>
      <c r="H56" s="3">
        <v>-0.81</v>
      </c>
      <c r="I56" s="3">
        <v>-0.63</v>
      </c>
      <c r="J56" s="3">
        <v>0.01</v>
      </c>
      <c r="K56" s="3">
        <v>-0.38</v>
      </c>
      <c r="L56" s="3">
        <v>0.49</v>
      </c>
      <c r="N56" t="s">
        <v>228</v>
      </c>
      <c r="O56" s="3" t="s">
        <v>248</v>
      </c>
      <c r="P56" s="11">
        <v>430</v>
      </c>
      <c r="Q56" s="3">
        <v>1.03</v>
      </c>
      <c r="R56" s="3">
        <v>-1.46</v>
      </c>
      <c r="S56" s="3">
        <v>1.1000000000000001</v>
      </c>
      <c r="T56" s="3">
        <v>-0.05</v>
      </c>
      <c r="U56" s="3">
        <v>0.38</v>
      </c>
      <c r="V56" s="3">
        <v>0.56999999999999995</v>
      </c>
    </row>
    <row r="57" spans="4:22" x14ac:dyDescent="0.25">
      <c r="D57" t="s">
        <v>221</v>
      </c>
      <c r="E57" s="11">
        <v>386</v>
      </c>
      <c r="F57" s="11">
        <v>654</v>
      </c>
      <c r="G57" s="3">
        <v>0.83</v>
      </c>
      <c r="H57" s="3">
        <v>-1.19</v>
      </c>
      <c r="I57" s="3">
        <v>8.8999999999999996E-2</v>
      </c>
      <c r="J57" s="3">
        <v>0.36</v>
      </c>
      <c r="K57" s="3">
        <v>0.19</v>
      </c>
      <c r="L57" s="3">
        <v>0.09</v>
      </c>
      <c r="N57" t="s">
        <v>221</v>
      </c>
      <c r="O57" s="11">
        <v>273</v>
      </c>
      <c r="P57" s="11">
        <v>433</v>
      </c>
      <c r="Q57" s="3">
        <v>-0.92</v>
      </c>
      <c r="R57" s="3">
        <v>-1.3</v>
      </c>
      <c r="S57" s="3">
        <v>0.98</v>
      </c>
      <c r="T57" s="3">
        <v>0.42</v>
      </c>
      <c r="U57" s="3">
        <v>-0.33</v>
      </c>
      <c r="V57" s="3">
        <v>-0.04</v>
      </c>
    </row>
    <row r="58" spans="4:22" x14ac:dyDescent="0.25">
      <c r="E58" s="3"/>
      <c r="F58" s="11">
        <v>655</v>
      </c>
      <c r="G58" s="3">
        <v>1.1499999999999999</v>
      </c>
      <c r="H58" s="3">
        <v>1.6</v>
      </c>
      <c r="I58" s="3">
        <v>-1.18</v>
      </c>
      <c r="J58" s="3">
        <v>-0.17</v>
      </c>
      <c r="K58" s="3">
        <v>-0.17</v>
      </c>
      <c r="L58" s="3">
        <v>-0.41</v>
      </c>
      <c r="O58" s="3"/>
      <c r="P58" s="11">
        <v>650</v>
      </c>
      <c r="Q58" s="3">
        <v>-1.05</v>
      </c>
      <c r="R58" s="3">
        <v>1.47</v>
      </c>
      <c r="S58" s="3">
        <v>1.1100000000000001</v>
      </c>
      <c r="T58" s="3">
        <v>0</v>
      </c>
      <c r="U58" s="3">
        <v>0.32</v>
      </c>
      <c r="V58" s="3">
        <v>-0.43</v>
      </c>
    </row>
    <row r="59" spans="4:22" x14ac:dyDescent="0.25">
      <c r="E59" s="3"/>
      <c r="F59" s="11">
        <v>656</v>
      </c>
      <c r="G59" s="3">
        <v>-0.26</v>
      </c>
      <c r="H59" s="3">
        <v>0.4</v>
      </c>
      <c r="I59" s="3">
        <v>-0.33</v>
      </c>
      <c r="J59" s="3">
        <v>-0.04</v>
      </c>
      <c r="K59" s="3">
        <v>0.37</v>
      </c>
      <c r="L59" s="3">
        <v>0.54</v>
      </c>
      <c r="O59" s="3"/>
      <c r="P59" s="11">
        <v>653</v>
      </c>
      <c r="Q59" s="3">
        <v>0.56000000000000005</v>
      </c>
      <c r="R59" s="3">
        <v>0.81</v>
      </c>
      <c r="S59" s="3">
        <v>-0.63</v>
      </c>
      <c r="T59" s="3">
        <v>0.59</v>
      </c>
      <c r="U59" s="3">
        <v>-0.38</v>
      </c>
      <c r="V59" s="3">
        <v>-0.04</v>
      </c>
    </row>
    <row r="60" spans="4:22" x14ac:dyDescent="0.25">
      <c r="E60" s="3"/>
      <c r="F60" s="81" t="s">
        <v>293</v>
      </c>
      <c r="G60" s="85">
        <f>G56+G57+G58+G59</f>
        <v>1.1599999999999999</v>
      </c>
      <c r="H60" s="85">
        <f t="shared" ref="H60" si="36">H56+H57+H58+H59</f>
        <v>0</v>
      </c>
      <c r="I60" s="85">
        <f t="shared" ref="I60" si="37">I56+I57+I58+I59</f>
        <v>-2.0510000000000002</v>
      </c>
      <c r="J60" s="85">
        <f t="shared" ref="J60" si="38">J56+J57+J58+J59</f>
        <v>0.15999999999999998</v>
      </c>
      <c r="K60" s="85">
        <f t="shared" ref="K60" si="39">K56+K57+K58+K59</f>
        <v>1.0000000000000009E-2</v>
      </c>
      <c r="L60" s="85">
        <f t="shared" ref="L60" si="40">L56+L57+L58+L59</f>
        <v>0.71</v>
      </c>
      <c r="O60" s="3"/>
      <c r="P60" s="81" t="s">
        <v>293</v>
      </c>
      <c r="Q60" s="85">
        <f>Q56+Q57+Q58+Q59</f>
        <v>-0.38</v>
      </c>
      <c r="R60" s="85">
        <f t="shared" ref="R60" si="41">R56+R57+R58+R59</f>
        <v>-0.47999999999999976</v>
      </c>
      <c r="S60" s="85">
        <f t="shared" ref="S60" si="42">S56+S57+S58+S59</f>
        <v>2.5600000000000005</v>
      </c>
      <c r="T60" s="85">
        <f t="shared" ref="T60" si="43">T56+T57+T58+T59</f>
        <v>0.96</v>
      </c>
      <c r="U60" s="85">
        <f t="shared" ref="U60" si="44">U56+U57+U58+U59</f>
        <v>-1.0000000000000009E-2</v>
      </c>
      <c r="V60" s="85">
        <f t="shared" ref="V60" si="45">V56+V57+V58+V59</f>
        <v>5.9999999999999921E-2</v>
      </c>
    </row>
    <row r="61" spans="4:22" x14ac:dyDescent="0.25">
      <c r="E61" s="3"/>
      <c r="F61" s="81" t="s">
        <v>294</v>
      </c>
      <c r="G61" s="3">
        <f>(G60^2+I60^2)^0.5/$F$18</f>
        <v>8.3337450056846757E-2</v>
      </c>
      <c r="O61" s="3"/>
      <c r="P61" s="81" t="s">
        <v>294</v>
      </c>
      <c r="Q61" s="3">
        <f>(Q60^2+S60^2)^0.5/$F$18</f>
        <v>9.1533525399462579E-2</v>
      </c>
    </row>
    <row r="62" spans="4:22" x14ac:dyDescent="0.25">
      <c r="E62" s="3"/>
      <c r="F62" s="81" t="s">
        <v>299</v>
      </c>
      <c r="G62" s="3">
        <f>H60/$F$18</f>
        <v>0</v>
      </c>
      <c r="O62" s="3"/>
      <c r="P62" s="81" t="s">
        <v>299</v>
      </c>
      <c r="Q62" s="3">
        <f>R60/$F$18</f>
        <v>-1.6976527263135494E-2</v>
      </c>
    </row>
    <row r="63" spans="4:22" x14ac:dyDescent="0.25">
      <c r="D63" t="s">
        <v>228</v>
      </c>
      <c r="E63" s="3" t="s">
        <v>236</v>
      </c>
      <c r="F63" s="11">
        <v>1969</v>
      </c>
      <c r="G63" s="3">
        <v>0.2</v>
      </c>
      <c r="H63" s="3">
        <v>0.18</v>
      </c>
      <c r="I63" s="3">
        <v>0.06</v>
      </c>
      <c r="J63" s="3">
        <v>0.28000000000000003</v>
      </c>
      <c r="K63" s="3">
        <v>-0.76</v>
      </c>
      <c r="L63" s="3">
        <v>0.76</v>
      </c>
      <c r="N63" t="s">
        <v>228</v>
      </c>
      <c r="O63" s="3" t="s">
        <v>249</v>
      </c>
      <c r="P63" s="11">
        <v>1738</v>
      </c>
      <c r="Q63" s="3">
        <v>0.44</v>
      </c>
      <c r="R63" s="3">
        <v>-0.71</v>
      </c>
      <c r="S63" s="3">
        <v>0.59</v>
      </c>
      <c r="T63" s="3">
        <v>0.24</v>
      </c>
      <c r="U63" s="3">
        <v>0.79</v>
      </c>
      <c r="V63" s="3">
        <v>0.83</v>
      </c>
    </row>
    <row r="64" spans="4:22" x14ac:dyDescent="0.25">
      <c r="D64" t="s">
        <v>221</v>
      </c>
      <c r="E64" s="11">
        <v>1050</v>
      </c>
      <c r="F64" s="11">
        <v>1970</v>
      </c>
      <c r="G64" s="3">
        <v>1.99</v>
      </c>
      <c r="H64" s="3">
        <v>-2.72</v>
      </c>
      <c r="I64" s="3">
        <v>-1.98</v>
      </c>
      <c r="J64" s="3">
        <v>0.05</v>
      </c>
      <c r="K64" s="3">
        <v>-7.0000000000000007E-2</v>
      </c>
      <c r="L64" s="3">
        <v>0.15</v>
      </c>
      <c r="N64" t="s">
        <v>221</v>
      </c>
      <c r="O64" s="11">
        <v>933</v>
      </c>
      <c r="P64" s="11">
        <v>1741</v>
      </c>
      <c r="Q64" s="3">
        <v>-2.12</v>
      </c>
      <c r="R64" s="3">
        <v>-2.92</v>
      </c>
      <c r="S64" s="3">
        <v>2.15</v>
      </c>
      <c r="T64" s="3">
        <v>0.13</v>
      </c>
      <c r="U64" s="3">
        <v>-0.15</v>
      </c>
      <c r="V64" s="3">
        <v>-7.0000000000000007E-2</v>
      </c>
    </row>
    <row r="65" spans="4:22" x14ac:dyDescent="0.25">
      <c r="E65" s="3"/>
      <c r="F65" s="11">
        <v>1971</v>
      </c>
      <c r="G65" s="3">
        <v>2.11</v>
      </c>
      <c r="H65" s="3">
        <v>2.88</v>
      </c>
      <c r="I65" s="3">
        <v>-2.1</v>
      </c>
      <c r="J65" s="3">
        <v>-0.24</v>
      </c>
      <c r="K65" s="3">
        <v>7.0000000000000007E-2</v>
      </c>
      <c r="L65" s="3">
        <v>-0.14000000000000001</v>
      </c>
      <c r="O65" s="3"/>
      <c r="P65" s="11">
        <v>1958</v>
      </c>
      <c r="Q65" s="3">
        <v>-2.0499999999999998</v>
      </c>
      <c r="R65" s="3">
        <v>2.82</v>
      </c>
      <c r="S65" s="3">
        <v>2.08</v>
      </c>
      <c r="T65" s="3">
        <v>-0.02</v>
      </c>
      <c r="U65" s="3">
        <v>0.14000000000000001</v>
      </c>
      <c r="V65" s="3">
        <v>-0.22</v>
      </c>
    </row>
    <row r="66" spans="4:22" x14ac:dyDescent="0.25">
      <c r="E66" s="3"/>
      <c r="F66" s="11">
        <v>1972</v>
      </c>
      <c r="G66" s="3">
        <v>0.32</v>
      </c>
      <c r="H66" s="3">
        <v>-0.34</v>
      </c>
      <c r="I66" s="3">
        <v>0.18</v>
      </c>
      <c r="J66" s="3">
        <v>0.77</v>
      </c>
      <c r="K66" s="3">
        <v>0.76</v>
      </c>
      <c r="L66" s="3">
        <v>0.27</v>
      </c>
      <c r="O66" s="3"/>
      <c r="P66" s="11">
        <v>1961</v>
      </c>
      <c r="Q66" s="3">
        <v>0.18</v>
      </c>
      <c r="R66" s="3">
        <v>0.33</v>
      </c>
      <c r="S66" s="3">
        <v>0.32</v>
      </c>
      <c r="T66" s="3">
        <v>0.82</v>
      </c>
      <c r="U66" s="3">
        <v>-0.79</v>
      </c>
      <c r="V66" s="3">
        <v>0.26</v>
      </c>
    </row>
    <row r="67" spans="4:22" x14ac:dyDescent="0.25">
      <c r="E67" s="3"/>
      <c r="F67" s="81" t="s">
        <v>293</v>
      </c>
      <c r="G67" s="85">
        <f>G63+G64+G65+G66</f>
        <v>4.62</v>
      </c>
      <c r="H67" s="85">
        <f t="shared" ref="H67" si="46">H63+H64+H65+H66</f>
        <v>0</v>
      </c>
      <c r="I67" s="85">
        <f t="shared" ref="I67" si="47">I63+I64+I65+I66</f>
        <v>-3.8399999999999994</v>
      </c>
      <c r="J67" s="85">
        <f t="shared" ref="J67" si="48">J63+J64+J65+J66</f>
        <v>0.8600000000000001</v>
      </c>
      <c r="K67" s="85">
        <f t="shared" ref="K67" si="49">K63+K64+K65+K66</f>
        <v>0</v>
      </c>
      <c r="L67" s="85">
        <f t="shared" ref="L67" si="50">L63+L64+L65+L66</f>
        <v>1.04</v>
      </c>
      <c r="O67" s="3"/>
      <c r="P67" s="81" t="s">
        <v>293</v>
      </c>
      <c r="Q67" s="85">
        <f>Q63+Q64+Q65+Q66</f>
        <v>-3.55</v>
      </c>
      <c r="R67" s="85">
        <f t="shared" ref="R67" si="51">R63+R64+R65+R66</f>
        <v>-0.48000000000000004</v>
      </c>
      <c r="S67" s="85">
        <f t="shared" ref="S67" si="52">S63+S64+S65+S66</f>
        <v>5.1400000000000006</v>
      </c>
      <c r="T67" s="85">
        <f t="shared" ref="T67" si="53">T63+T64+T65+T66</f>
        <v>1.17</v>
      </c>
      <c r="U67" s="85">
        <f t="shared" ref="U67" si="54">U63+U64+U65+U66</f>
        <v>-1.0000000000000009E-2</v>
      </c>
      <c r="V67" s="85">
        <f t="shared" ref="V67" si="55">V63+V64+V65+V66</f>
        <v>0.8</v>
      </c>
    </row>
    <row r="68" spans="4:22" x14ac:dyDescent="0.25">
      <c r="E68" s="3"/>
      <c r="F68" s="81" t="s">
        <v>294</v>
      </c>
      <c r="G68" s="3">
        <f>(G67^2+I67^2)^0.5/$F$18</f>
        <v>0.21247168344819098</v>
      </c>
      <c r="O68" s="3"/>
      <c r="P68" s="81" t="s">
        <v>294</v>
      </c>
      <c r="Q68" s="3">
        <f>(Q67^2+S67^2)^0.5/$F$18</f>
        <v>0.22093419388424207</v>
      </c>
    </row>
    <row r="69" spans="4:22" x14ac:dyDescent="0.25">
      <c r="E69" s="3"/>
      <c r="F69" s="81" t="s">
        <v>299</v>
      </c>
      <c r="G69" s="3">
        <f>H67/$F$18</f>
        <v>0</v>
      </c>
      <c r="O69" s="3"/>
      <c r="P69" s="81" t="s">
        <v>299</v>
      </c>
      <c r="Q69" s="3">
        <f>R67/$F$18</f>
        <v>-1.6976527263135505E-2</v>
      </c>
    </row>
    <row r="70" spans="4:22" x14ac:dyDescent="0.25">
      <c r="D70" t="s">
        <v>228</v>
      </c>
      <c r="E70" s="3" t="s">
        <v>237</v>
      </c>
      <c r="F70" s="11">
        <v>3055</v>
      </c>
      <c r="G70" s="3">
        <v>0.04</v>
      </c>
      <c r="H70" s="3">
        <v>-0.04</v>
      </c>
      <c r="I70" s="3">
        <v>-0.1</v>
      </c>
      <c r="J70" s="3">
        <v>0.28999999999999998</v>
      </c>
      <c r="K70" s="3">
        <v>-0.75</v>
      </c>
      <c r="L70" s="3">
        <v>0.73</v>
      </c>
      <c r="N70" t="s">
        <v>228</v>
      </c>
      <c r="O70" s="3" t="s">
        <v>250</v>
      </c>
      <c r="P70" s="11">
        <v>3050</v>
      </c>
      <c r="Q70" s="3">
        <v>0.17</v>
      </c>
      <c r="R70" s="3">
        <v>0.33</v>
      </c>
      <c r="S70" s="3">
        <v>0.3</v>
      </c>
      <c r="T70" s="3">
        <v>0.22</v>
      </c>
      <c r="U70" s="3">
        <v>0.72</v>
      </c>
      <c r="V70" s="3">
        <v>0.76</v>
      </c>
    </row>
    <row r="71" spans="4:22" x14ac:dyDescent="0.25">
      <c r="D71" t="s">
        <v>221</v>
      </c>
      <c r="E71" s="11">
        <v>1598</v>
      </c>
      <c r="F71" s="11">
        <v>3056</v>
      </c>
      <c r="G71" s="3">
        <v>1.96</v>
      </c>
      <c r="H71" s="3">
        <v>-2.68</v>
      </c>
      <c r="I71" s="3">
        <v>-1.96</v>
      </c>
      <c r="J71" s="3">
        <v>-0.03</v>
      </c>
      <c r="K71" s="3">
        <v>0</v>
      </c>
      <c r="L71" s="3">
        <v>-0.03</v>
      </c>
      <c r="N71" t="s">
        <v>221</v>
      </c>
      <c r="O71" s="11">
        <v>1595</v>
      </c>
      <c r="P71" s="11">
        <v>3053</v>
      </c>
      <c r="Q71" s="3">
        <v>-1.97</v>
      </c>
      <c r="R71" s="3">
        <v>-2.71</v>
      </c>
      <c r="S71" s="3">
        <v>1.98</v>
      </c>
      <c r="T71" s="3">
        <v>-0.06</v>
      </c>
      <c r="U71" s="3">
        <v>-0.05</v>
      </c>
      <c r="V71" s="3">
        <v>-0.13</v>
      </c>
    </row>
    <row r="72" spans="4:22" x14ac:dyDescent="0.25">
      <c r="E72" s="3"/>
      <c r="F72" s="11">
        <v>3057</v>
      </c>
      <c r="G72" s="3">
        <v>2.0099999999999998</v>
      </c>
      <c r="H72" s="3">
        <v>2.76</v>
      </c>
      <c r="I72" s="3">
        <v>-2.0099999999999998</v>
      </c>
      <c r="J72" s="3">
        <v>-0.04</v>
      </c>
      <c r="K72" s="3">
        <v>0</v>
      </c>
      <c r="L72" s="3">
        <v>-0.05</v>
      </c>
      <c r="O72" s="3"/>
      <c r="P72" s="11">
        <v>3270</v>
      </c>
      <c r="Q72" s="3">
        <v>-1.85</v>
      </c>
      <c r="R72" s="3">
        <v>2.5299999999999998</v>
      </c>
      <c r="S72" s="3">
        <v>1.86</v>
      </c>
      <c r="T72" s="3">
        <v>0.06</v>
      </c>
      <c r="U72" s="3">
        <v>0.05</v>
      </c>
      <c r="V72" s="3">
        <v>-0.01</v>
      </c>
    </row>
    <row r="73" spans="4:22" x14ac:dyDescent="0.25">
      <c r="E73" s="3"/>
      <c r="F73" s="11">
        <v>3058</v>
      </c>
      <c r="G73" s="3">
        <v>0.09</v>
      </c>
      <c r="H73" s="3">
        <v>-0.03</v>
      </c>
      <c r="I73" s="3">
        <v>-0.04</v>
      </c>
      <c r="J73" s="3">
        <v>0.74</v>
      </c>
      <c r="K73" s="3">
        <v>0.75</v>
      </c>
      <c r="L73" s="3">
        <v>0.28999999999999998</v>
      </c>
      <c r="O73" s="3"/>
      <c r="P73" s="11">
        <v>3273</v>
      </c>
      <c r="Q73" s="3">
        <v>-0.04</v>
      </c>
      <c r="R73" s="3">
        <v>0.03</v>
      </c>
      <c r="S73" s="3">
        <v>0.09</v>
      </c>
      <c r="T73" s="3">
        <v>0.76</v>
      </c>
      <c r="U73" s="3">
        <v>-0.72</v>
      </c>
      <c r="V73" s="3">
        <v>0.23</v>
      </c>
    </row>
    <row r="74" spans="4:22" x14ac:dyDescent="0.25">
      <c r="E74" s="3"/>
      <c r="F74" s="81" t="s">
        <v>293</v>
      </c>
      <c r="G74" s="85">
        <f>G70+G71+G72+G73</f>
        <v>4.0999999999999996</v>
      </c>
      <c r="H74" s="85">
        <f t="shared" ref="H74" si="56">H70+H71+H72+H73</f>
        <v>9.9999999999995925E-3</v>
      </c>
      <c r="I74" s="85">
        <f t="shared" ref="I74" si="57">I70+I71+I72+I73</f>
        <v>-4.1100000000000003</v>
      </c>
      <c r="J74" s="85">
        <f t="shared" ref="J74" si="58">J70+J71+J72+J73</f>
        <v>0.96</v>
      </c>
      <c r="K74" s="85">
        <f t="shared" ref="K74" si="59">K70+K71+K72+K73</f>
        <v>0</v>
      </c>
      <c r="L74" s="85">
        <f t="shared" ref="L74" si="60">L70+L71+L72+L73</f>
        <v>0.94</v>
      </c>
      <c r="O74" s="3"/>
      <c r="P74" s="81" t="s">
        <v>293</v>
      </c>
      <c r="Q74" s="85">
        <f>Q70+Q71+Q72+Q73</f>
        <v>-3.6900000000000004</v>
      </c>
      <c r="R74" s="85">
        <f t="shared" ref="R74" si="61">R70+R71+R72+R73</f>
        <v>0.17999999999999991</v>
      </c>
      <c r="S74" s="85">
        <f t="shared" ref="S74" si="62">S70+S71+S72+S73</f>
        <v>4.2299999999999995</v>
      </c>
      <c r="T74" s="85">
        <f t="shared" ref="T74" si="63">T70+T71+T72+T73</f>
        <v>0.98</v>
      </c>
      <c r="U74" s="85">
        <f t="shared" ref="U74" si="64">U70+U71+U72+U73</f>
        <v>0</v>
      </c>
      <c r="V74" s="85">
        <f t="shared" ref="V74" si="65">V70+V71+V72+V73</f>
        <v>0.85</v>
      </c>
    </row>
    <row r="75" spans="4:22" x14ac:dyDescent="0.25">
      <c r="E75" s="3"/>
      <c r="F75" s="81" t="s">
        <v>294</v>
      </c>
      <c r="G75" s="3">
        <f>(G74^2+I74^2)^0.5/$F$18</f>
        <v>0.20532228996374446</v>
      </c>
      <c r="O75" s="3"/>
      <c r="P75" s="81" t="s">
        <v>294</v>
      </c>
      <c r="Q75" s="3">
        <f>(Q74^2+S74^2)^0.5/$F$18</f>
        <v>0.19852944476039164</v>
      </c>
    </row>
    <row r="76" spans="4:22" x14ac:dyDescent="0.25">
      <c r="E76" s="3"/>
      <c r="F76" s="81" t="s">
        <v>299</v>
      </c>
      <c r="G76" s="3">
        <f>H74/$F$18</f>
        <v>3.5367765131530859E-4</v>
      </c>
      <c r="O76" s="3"/>
      <c r="P76" s="81" t="s">
        <v>299</v>
      </c>
      <c r="Q76" s="3">
        <f>R74/$F$18</f>
        <v>6.3661977236758108E-3</v>
      </c>
    </row>
    <row r="77" spans="4:22" x14ac:dyDescent="0.25">
      <c r="D77" t="s">
        <v>228</v>
      </c>
      <c r="E77" s="3" t="s">
        <v>238</v>
      </c>
      <c r="F77" s="11">
        <v>4145</v>
      </c>
      <c r="G77" s="3">
        <v>0.04</v>
      </c>
      <c r="H77" s="3">
        <v>-0.01</v>
      </c>
      <c r="I77" s="3">
        <v>-0.06</v>
      </c>
      <c r="J77" s="3">
        <v>0.18</v>
      </c>
      <c r="K77" s="3">
        <v>-0.56000000000000005</v>
      </c>
      <c r="L77" s="3">
        <v>0.59</v>
      </c>
      <c r="N77" t="s">
        <v>228</v>
      </c>
      <c r="O77" s="3" t="s">
        <v>251</v>
      </c>
      <c r="P77" s="11">
        <v>4354</v>
      </c>
      <c r="Q77" s="3">
        <v>0.24</v>
      </c>
      <c r="R77" s="3">
        <v>-0.39</v>
      </c>
      <c r="S77" s="3">
        <v>0.32</v>
      </c>
    </row>
    <row r="78" spans="4:22" x14ac:dyDescent="0.25">
      <c r="D78" t="s">
        <v>221</v>
      </c>
      <c r="E78" s="11">
        <v>2148</v>
      </c>
      <c r="F78" s="11">
        <v>4146</v>
      </c>
      <c r="G78" s="3">
        <v>1.48</v>
      </c>
      <c r="H78" s="3">
        <v>-2.02</v>
      </c>
      <c r="I78" s="3">
        <v>-1.48</v>
      </c>
      <c r="J78" s="3">
        <v>-0.12</v>
      </c>
      <c r="K78" s="3">
        <v>0</v>
      </c>
      <c r="L78" s="3">
        <v>-0.12</v>
      </c>
      <c r="N78" t="s">
        <v>221</v>
      </c>
      <c r="O78" s="11">
        <v>2253</v>
      </c>
      <c r="P78" s="11">
        <v>4357</v>
      </c>
      <c r="Q78" s="3">
        <v>-1.22</v>
      </c>
      <c r="R78" s="3">
        <v>-1.68</v>
      </c>
      <c r="S78" s="3">
        <v>1.23</v>
      </c>
    </row>
    <row r="79" spans="4:22" x14ac:dyDescent="0.25">
      <c r="E79" s="3"/>
      <c r="F79" s="11">
        <v>4147</v>
      </c>
      <c r="G79" s="3">
        <v>1.5</v>
      </c>
      <c r="H79" s="3">
        <v>2.0499999999999998</v>
      </c>
      <c r="I79" s="3">
        <v>-1.5</v>
      </c>
      <c r="J79" s="3">
        <v>7.0000000000000007E-2</v>
      </c>
      <c r="K79" s="3">
        <v>0</v>
      </c>
      <c r="L79" s="3">
        <v>7.0000000000000007E-2</v>
      </c>
      <c r="O79" s="3"/>
      <c r="P79" s="11">
        <v>4574</v>
      </c>
      <c r="Q79" s="3">
        <v>-1.06</v>
      </c>
      <c r="R79" s="3">
        <v>1.46</v>
      </c>
      <c r="S79" s="3">
        <v>1.08</v>
      </c>
    </row>
    <row r="80" spans="4:22" x14ac:dyDescent="0.25">
      <c r="E80" s="3"/>
      <c r="F80" s="11">
        <v>4148</v>
      </c>
      <c r="G80" s="3">
        <v>0.06</v>
      </c>
      <c r="H80" s="3">
        <v>-0.01</v>
      </c>
      <c r="I80" s="3">
        <v>-0.04</v>
      </c>
      <c r="J80" s="3">
        <v>0.59</v>
      </c>
      <c r="K80" s="3">
        <v>0.56000000000000005</v>
      </c>
      <c r="L80" s="3">
        <v>0.18</v>
      </c>
      <c r="O80" s="3"/>
      <c r="P80" s="11">
        <v>4577</v>
      </c>
      <c r="Q80" s="3">
        <v>7.0000000000000007E-2</v>
      </c>
      <c r="R80" s="3">
        <v>0.14000000000000001</v>
      </c>
      <c r="S80" s="3">
        <v>0.14000000000000001</v>
      </c>
    </row>
    <row r="81" spans="4:22" x14ac:dyDescent="0.25">
      <c r="E81" s="3"/>
      <c r="F81" s="81" t="s">
        <v>293</v>
      </c>
      <c r="G81" s="85">
        <f>G77+G78+G79+G80</f>
        <v>3.08</v>
      </c>
      <c r="H81" s="85">
        <f t="shared" ref="H81" si="66">H77+H78+H79+H80</f>
        <v>1.0000000000000018E-2</v>
      </c>
      <c r="I81" s="85">
        <f t="shared" ref="I81" si="67">I77+I78+I79+I80</f>
        <v>-3.08</v>
      </c>
      <c r="J81" s="85">
        <f t="shared" ref="J81" si="68">J77+J78+J79+J80</f>
        <v>0.72</v>
      </c>
      <c r="K81" s="85">
        <f t="shared" ref="K81" si="69">K77+K78+K79+K80</f>
        <v>0</v>
      </c>
      <c r="L81" s="85">
        <f t="shared" ref="L81" si="70">L77+L78+L79+L80</f>
        <v>0.72</v>
      </c>
      <c r="O81" s="3"/>
      <c r="P81" s="81" t="s">
        <v>293</v>
      </c>
      <c r="Q81" s="85">
        <f>Q77+Q78+Q79+Q80</f>
        <v>-1.97</v>
      </c>
      <c r="R81" s="85">
        <f t="shared" ref="R81" si="71">R77+R78+R79+R80</f>
        <v>-0.46999999999999986</v>
      </c>
      <c r="S81" s="85">
        <f t="shared" ref="S81" si="72">S77+S78+S79+S80</f>
        <v>2.77</v>
      </c>
      <c r="T81" s="85">
        <f t="shared" ref="T81" si="73">T77+T78+T79+T80</f>
        <v>0</v>
      </c>
      <c r="U81" s="85">
        <f t="shared" ref="U81" si="74">U77+U78+U79+U80</f>
        <v>0</v>
      </c>
      <c r="V81" s="85">
        <f t="shared" ref="V81" si="75">V77+V78+V79+V80</f>
        <v>0</v>
      </c>
    </row>
    <row r="82" spans="4:22" x14ac:dyDescent="0.25">
      <c r="E82" s="3"/>
      <c r="F82" s="81" t="s">
        <v>294</v>
      </c>
      <c r="G82" s="3">
        <f>(G81^2+I81^2)^0.5/$F$18</f>
        <v>0.15405412520910483</v>
      </c>
      <c r="O82" s="3"/>
      <c r="P82" s="81" t="s">
        <v>294</v>
      </c>
      <c r="Q82" s="3">
        <f>(Q81^2+S81^2)^0.5/$F$18</f>
        <v>0.12021815004229039</v>
      </c>
    </row>
    <row r="83" spans="4:22" x14ac:dyDescent="0.25">
      <c r="E83" s="3"/>
      <c r="F83" s="81" t="s">
        <v>299</v>
      </c>
      <c r="G83" s="3">
        <f>H81/$F$18</f>
        <v>3.5367765131532361E-4</v>
      </c>
      <c r="O83" s="3"/>
      <c r="P83" s="81" t="s">
        <v>299</v>
      </c>
      <c r="Q83" s="3">
        <f>R81/$F$18</f>
        <v>-1.6622849611820176E-2</v>
      </c>
    </row>
    <row r="85" spans="4:22" ht="18" x14ac:dyDescent="0.35">
      <c r="D85" s="64" t="s">
        <v>154</v>
      </c>
      <c r="E85" s="65">
        <f>'Sand.panel_t-1,0'!H$24</f>
        <v>1540</v>
      </c>
      <c r="F85" s="3" t="s">
        <v>232</v>
      </c>
      <c r="G85" s="3" t="s">
        <v>222</v>
      </c>
      <c r="H85" s="3" t="s">
        <v>223</v>
      </c>
      <c r="I85" s="3" t="s">
        <v>224</v>
      </c>
      <c r="J85" s="3" t="s">
        <v>225</v>
      </c>
      <c r="K85" s="3" t="s">
        <v>226</v>
      </c>
      <c r="L85" s="3" t="s">
        <v>227</v>
      </c>
      <c r="N85" s="64" t="s">
        <v>154</v>
      </c>
      <c r="O85" s="65">
        <f>'Sand.panel_t-1,0'!H$24</f>
        <v>1540</v>
      </c>
      <c r="P85" s="3" t="s">
        <v>232</v>
      </c>
      <c r="Q85" s="3" t="s">
        <v>222</v>
      </c>
      <c r="R85" s="3" t="s">
        <v>223</v>
      </c>
      <c r="S85" s="3" t="s">
        <v>224</v>
      </c>
      <c r="T85" s="3" t="s">
        <v>225</v>
      </c>
      <c r="U85" s="3" t="s">
        <v>226</v>
      </c>
      <c r="V85" s="3" t="s">
        <v>227</v>
      </c>
    </row>
    <row r="86" spans="4:22" x14ac:dyDescent="0.25">
      <c r="D86" t="s">
        <v>228</v>
      </c>
      <c r="E86" s="3" t="s">
        <v>234</v>
      </c>
      <c r="F86" s="11" t="s">
        <v>241</v>
      </c>
      <c r="N86" t="s">
        <v>228</v>
      </c>
      <c r="O86" s="3" t="s">
        <v>248</v>
      </c>
      <c r="P86" s="11" t="s">
        <v>241</v>
      </c>
    </row>
    <row r="87" spans="4:22" x14ac:dyDescent="0.25">
      <c r="D87" t="s">
        <v>221</v>
      </c>
      <c r="E87" s="11" t="s">
        <v>235</v>
      </c>
      <c r="F87" s="11" t="s">
        <v>242</v>
      </c>
      <c r="N87" t="s">
        <v>221</v>
      </c>
      <c r="O87" s="11" t="s">
        <v>235</v>
      </c>
      <c r="P87" s="11" t="s">
        <v>242</v>
      </c>
    </row>
    <row r="88" spans="4:22" x14ac:dyDescent="0.25">
      <c r="E88" s="3"/>
      <c r="F88" s="11" t="s">
        <v>243</v>
      </c>
      <c r="O88" s="3"/>
      <c r="P88" s="11" t="s">
        <v>243</v>
      </c>
    </row>
    <row r="89" spans="4:22" x14ac:dyDescent="0.25">
      <c r="E89" s="3"/>
      <c r="F89" s="11" t="s">
        <v>244</v>
      </c>
      <c r="O89" s="3"/>
      <c r="P89" s="11" t="s">
        <v>244</v>
      </c>
    </row>
    <row r="90" spans="4:22" x14ac:dyDescent="0.25">
      <c r="D90" t="s">
        <v>228</v>
      </c>
      <c r="E90" s="3" t="s">
        <v>236</v>
      </c>
      <c r="F90" s="11" t="s">
        <v>241</v>
      </c>
      <c r="N90" t="s">
        <v>228</v>
      </c>
      <c r="O90" s="3" t="s">
        <v>249</v>
      </c>
      <c r="P90" s="11" t="s">
        <v>241</v>
      </c>
    </row>
    <row r="91" spans="4:22" x14ac:dyDescent="0.25">
      <c r="D91" t="s">
        <v>221</v>
      </c>
      <c r="E91" s="11" t="s">
        <v>235</v>
      </c>
      <c r="F91" s="11" t="s">
        <v>242</v>
      </c>
      <c r="N91" t="s">
        <v>221</v>
      </c>
      <c r="O91" s="11" t="s">
        <v>235</v>
      </c>
      <c r="P91" s="11" t="s">
        <v>242</v>
      </c>
    </row>
    <row r="92" spans="4:22" x14ac:dyDescent="0.25">
      <c r="E92" s="3"/>
      <c r="F92" s="11" t="s">
        <v>243</v>
      </c>
      <c r="O92" s="3"/>
      <c r="P92" s="11" t="s">
        <v>243</v>
      </c>
    </row>
    <row r="93" spans="4:22" x14ac:dyDescent="0.25">
      <c r="E93" s="3"/>
      <c r="F93" s="11" t="s">
        <v>244</v>
      </c>
      <c r="O93" s="3"/>
      <c r="P93" s="11" t="s">
        <v>244</v>
      </c>
    </row>
    <row r="94" spans="4:22" x14ac:dyDescent="0.25">
      <c r="D94" t="s">
        <v>228</v>
      </c>
      <c r="E94" s="3" t="s">
        <v>237</v>
      </c>
      <c r="F94" s="11" t="s">
        <v>241</v>
      </c>
      <c r="N94" t="s">
        <v>228</v>
      </c>
      <c r="O94" s="3" t="s">
        <v>250</v>
      </c>
      <c r="P94" s="11" t="s">
        <v>241</v>
      </c>
    </row>
    <row r="95" spans="4:22" x14ac:dyDescent="0.25">
      <c r="D95" t="s">
        <v>221</v>
      </c>
      <c r="E95" s="11" t="s">
        <v>235</v>
      </c>
      <c r="F95" s="11" t="s">
        <v>242</v>
      </c>
      <c r="N95" t="s">
        <v>221</v>
      </c>
      <c r="O95" s="11" t="s">
        <v>235</v>
      </c>
      <c r="P95" s="11" t="s">
        <v>242</v>
      </c>
    </row>
    <row r="96" spans="4:22" x14ac:dyDescent="0.25">
      <c r="E96" s="3"/>
      <c r="F96" s="11" t="s">
        <v>243</v>
      </c>
      <c r="O96" s="3"/>
      <c r="P96" s="11" t="s">
        <v>243</v>
      </c>
    </row>
    <row r="97" spans="4:16" x14ac:dyDescent="0.25">
      <c r="E97" s="3"/>
      <c r="F97" s="11" t="s">
        <v>244</v>
      </c>
      <c r="O97" s="3"/>
      <c r="P97" s="11" t="s">
        <v>244</v>
      </c>
    </row>
    <row r="98" spans="4:16" x14ac:dyDescent="0.25">
      <c r="D98" t="s">
        <v>228</v>
      </c>
      <c r="E98" s="3" t="s">
        <v>238</v>
      </c>
      <c r="F98" s="11" t="s">
        <v>241</v>
      </c>
      <c r="N98" t="s">
        <v>228</v>
      </c>
      <c r="O98" s="3" t="s">
        <v>251</v>
      </c>
      <c r="P98" s="11" t="s">
        <v>241</v>
      </c>
    </row>
    <row r="99" spans="4:16" x14ac:dyDescent="0.25">
      <c r="D99" t="s">
        <v>221</v>
      </c>
      <c r="E99" s="11" t="s">
        <v>235</v>
      </c>
      <c r="F99" s="11" t="s">
        <v>242</v>
      </c>
      <c r="N99" t="s">
        <v>221</v>
      </c>
      <c r="O99" s="11" t="s">
        <v>235</v>
      </c>
      <c r="P99" s="11" t="s">
        <v>242</v>
      </c>
    </row>
    <row r="100" spans="4:16" x14ac:dyDescent="0.25">
      <c r="E100" s="3"/>
      <c r="F100" s="11" t="s">
        <v>243</v>
      </c>
      <c r="O100" s="3"/>
      <c r="P100" s="11" t="s">
        <v>243</v>
      </c>
    </row>
    <row r="101" spans="4:16" x14ac:dyDescent="0.25">
      <c r="E101" s="3"/>
      <c r="F101" s="11" t="s">
        <v>244</v>
      </c>
      <c r="O101" s="3"/>
      <c r="P101" s="11" t="s">
        <v>244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43607-65D1-4C3B-8381-C74096C7C0F9}">
  <dimension ref="B1:V99"/>
  <sheetViews>
    <sheetView topLeftCell="A62" zoomScale="55" zoomScaleNormal="55" workbookViewId="0">
      <selection activeCell="A100" sqref="A100:XFD143"/>
    </sheetView>
  </sheetViews>
  <sheetFormatPr defaultRowHeight="15" x14ac:dyDescent="0.25"/>
  <cols>
    <col min="1" max="1" width="1.5703125" customWidth="1"/>
    <col min="5" max="5" width="9.140625" customWidth="1"/>
    <col min="6" max="10" width="9.140625" style="3" customWidth="1"/>
    <col min="11" max="11" width="9.140625" style="3"/>
    <col min="12" max="12" width="9.140625" style="3" customWidth="1"/>
    <col min="13" max="13" width="3.28515625" style="3" customWidth="1"/>
    <col min="14" max="16" width="9.140625" customWidth="1"/>
    <col min="17" max="17" width="9.140625" style="3" customWidth="1"/>
    <col min="18" max="18" width="9.140625" style="3"/>
    <col min="19" max="22" width="9.140625" style="3" customWidth="1"/>
  </cols>
  <sheetData>
    <row r="1" spans="2:11" ht="8.1" customHeight="1" x14ac:dyDescent="0.25"/>
    <row r="2" spans="2:11" ht="18.75" x14ac:dyDescent="0.3">
      <c r="B2" s="30" t="s">
        <v>253</v>
      </c>
      <c r="C2" s="29"/>
      <c r="D2" s="29"/>
      <c r="E2" s="29"/>
      <c r="F2" s="49"/>
      <c r="G2" s="49"/>
      <c r="H2" s="49"/>
      <c r="I2" s="49"/>
      <c r="J2" s="49"/>
      <c r="K2" s="69"/>
    </row>
    <row r="4" spans="2:11" x14ac:dyDescent="0.25">
      <c r="B4" s="14" t="s">
        <v>220</v>
      </c>
    </row>
    <row r="5" spans="2:11" x14ac:dyDescent="0.25">
      <c r="B5" t="s">
        <v>200</v>
      </c>
    </row>
    <row r="6" spans="2:11" x14ac:dyDescent="0.25">
      <c r="B6" t="s">
        <v>231</v>
      </c>
    </row>
    <row r="7" spans="2:11" x14ac:dyDescent="0.25">
      <c r="B7" s="14" t="s">
        <v>229</v>
      </c>
    </row>
    <row r="8" spans="2:11" x14ac:dyDescent="0.25">
      <c r="B8" s="14" t="s">
        <v>230</v>
      </c>
    </row>
    <row r="9" spans="2:11" x14ac:dyDescent="0.25">
      <c r="B9" s="14" t="s">
        <v>245</v>
      </c>
    </row>
    <row r="10" spans="2:11" x14ac:dyDescent="0.25">
      <c r="B10" t="s">
        <v>233</v>
      </c>
    </row>
    <row r="11" spans="2:11" x14ac:dyDescent="0.25">
      <c r="B11" s="14" t="s">
        <v>246</v>
      </c>
    </row>
    <row r="14" spans="2:11" ht="18.75" customHeight="1" x14ac:dyDescent="0.25">
      <c r="B14" s="66" t="s">
        <v>252</v>
      </c>
      <c r="C14" s="9"/>
      <c r="D14" s="9"/>
      <c r="F14" s="49"/>
      <c r="G14" s="67" t="s">
        <v>3</v>
      </c>
      <c r="H14" s="49"/>
    </row>
    <row r="16" spans="2:11" ht="18" x14ac:dyDescent="0.35">
      <c r="C16" s="40" t="s">
        <v>99</v>
      </c>
      <c r="D16" s="2">
        <f>'Sand.panel_t-1,0'!H36</f>
        <v>1</v>
      </c>
      <c r="E16" t="s">
        <v>113</v>
      </c>
      <c r="H16" s="63"/>
      <c r="I16" s="50"/>
    </row>
    <row r="17" spans="3:22" x14ac:dyDescent="0.25">
      <c r="C17" s="82" t="s">
        <v>296</v>
      </c>
      <c r="D17" s="82"/>
      <c r="E17" s="83"/>
      <c r="F17" s="2">
        <v>6</v>
      </c>
      <c r="G17" t="s">
        <v>113</v>
      </c>
      <c r="I17" s="3" t="s">
        <v>213</v>
      </c>
      <c r="J17" s="63" t="s">
        <v>214</v>
      </c>
      <c r="K17" s="50" t="s">
        <v>239</v>
      </c>
      <c r="L17" s="79" t="s">
        <v>215</v>
      </c>
      <c r="M17"/>
    </row>
    <row r="18" spans="3:22" ht="17.25" x14ac:dyDescent="0.25">
      <c r="C18" s="82" t="s">
        <v>295</v>
      </c>
      <c r="D18" s="82"/>
      <c r="E18" s="82"/>
      <c r="F18" s="3">
        <f>PI()*F17^2/4</f>
        <v>28.274333882308138</v>
      </c>
      <c r="G18" t="s">
        <v>297</v>
      </c>
      <c r="J18" s="79" t="s">
        <v>298</v>
      </c>
      <c r="K18" s="50" t="s">
        <v>240</v>
      </c>
      <c r="M18"/>
    </row>
    <row r="19" spans="3:22" x14ac:dyDescent="0.25">
      <c r="H19" s="79"/>
      <c r="I19" s="50"/>
    </row>
    <row r="20" spans="3:22" ht="18" x14ac:dyDescent="0.35">
      <c r="D20" s="41" t="s">
        <v>101</v>
      </c>
      <c r="E20" s="2">
        <f>'Sand.panel_t-1,0'!H32</f>
        <v>3</v>
      </c>
      <c r="F20" t="s">
        <v>113</v>
      </c>
    </row>
    <row r="22" spans="3:22" ht="18" x14ac:dyDescent="0.35">
      <c r="D22" s="64" t="s">
        <v>153</v>
      </c>
      <c r="E22" s="65">
        <f>'Sand.panel_t-1,0'!I$22</f>
        <v>1230</v>
      </c>
      <c r="F22" s="3" t="s">
        <v>232</v>
      </c>
      <c r="G22" s="3" t="s">
        <v>222</v>
      </c>
      <c r="H22" s="3" t="s">
        <v>223</v>
      </c>
      <c r="I22" s="3" t="s">
        <v>224</v>
      </c>
      <c r="J22" s="3" t="s">
        <v>225</v>
      </c>
      <c r="K22" s="3" t="s">
        <v>226</v>
      </c>
      <c r="L22" s="3" t="s">
        <v>227</v>
      </c>
      <c r="N22" s="64" t="s">
        <v>153</v>
      </c>
      <c r="O22" s="65">
        <f>'Sand.panel_t-1,0'!I$22</f>
        <v>1230</v>
      </c>
      <c r="P22" s="3" t="s">
        <v>232</v>
      </c>
      <c r="Q22" s="3" t="s">
        <v>222</v>
      </c>
      <c r="R22" s="3" t="s">
        <v>223</v>
      </c>
      <c r="S22" s="3" t="s">
        <v>224</v>
      </c>
      <c r="T22" s="3" t="s">
        <v>225</v>
      </c>
      <c r="U22" s="3" t="s">
        <v>226</v>
      </c>
      <c r="V22" s="3" t="s">
        <v>227</v>
      </c>
    </row>
    <row r="23" spans="3:22" x14ac:dyDescent="0.25">
      <c r="D23" t="s">
        <v>228</v>
      </c>
      <c r="E23" s="3" t="s">
        <v>234</v>
      </c>
      <c r="F23" s="11">
        <v>321</v>
      </c>
      <c r="G23" s="3">
        <v>-0.4</v>
      </c>
      <c r="H23" s="3">
        <v>-0.41</v>
      </c>
      <c r="I23" s="3">
        <v>-0.44</v>
      </c>
      <c r="J23" s="3">
        <v>0.14000000000000001</v>
      </c>
      <c r="K23" s="3">
        <v>-0.32</v>
      </c>
      <c r="L23" s="3">
        <v>0.15</v>
      </c>
      <c r="N23" t="s">
        <v>228</v>
      </c>
      <c r="O23" s="3" t="s">
        <v>248</v>
      </c>
      <c r="P23" s="11">
        <v>320</v>
      </c>
      <c r="Q23" s="3">
        <v>0.56000000000000005</v>
      </c>
      <c r="R23" s="3">
        <v>-0.57999999999999996</v>
      </c>
      <c r="S23" s="3">
        <v>0.61</v>
      </c>
      <c r="T23" s="3">
        <v>0.12</v>
      </c>
      <c r="U23" s="3">
        <v>0.4</v>
      </c>
      <c r="V23" s="3">
        <v>0.28000000000000003</v>
      </c>
    </row>
    <row r="24" spans="3:22" x14ac:dyDescent="0.25">
      <c r="D24" t="s">
        <v>221</v>
      </c>
      <c r="E24" s="11">
        <v>205</v>
      </c>
      <c r="F24" s="11">
        <v>322</v>
      </c>
      <c r="G24" s="3">
        <v>1.1399999999999999</v>
      </c>
      <c r="H24" s="3">
        <v>-1.1200000000000001</v>
      </c>
      <c r="I24" s="3">
        <v>-1.1399999999999999</v>
      </c>
      <c r="J24" s="3">
        <v>0.18</v>
      </c>
      <c r="K24" s="3">
        <v>0</v>
      </c>
      <c r="L24" s="3">
        <v>0.18</v>
      </c>
      <c r="N24" t="s">
        <v>221</v>
      </c>
      <c r="O24" s="11">
        <v>204</v>
      </c>
      <c r="P24" s="11">
        <v>323</v>
      </c>
      <c r="Q24" s="3">
        <v>-1.94</v>
      </c>
      <c r="R24" s="3">
        <v>-1.92</v>
      </c>
      <c r="S24" s="3">
        <v>1.94</v>
      </c>
      <c r="T24" s="3">
        <v>0.16</v>
      </c>
      <c r="U24" s="3">
        <v>0</v>
      </c>
      <c r="V24" s="3">
        <v>0.16</v>
      </c>
    </row>
    <row r="25" spans="3:22" x14ac:dyDescent="0.25">
      <c r="E25" s="3"/>
      <c r="F25" s="11">
        <v>323</v>
      </c>
      <c r="G25" s="3">
        <v>1.94</v>
      </c>
      <c r="H25" s="3">
        <v>1.92</v>
      </c>
      <c r="I25" s="3">
        <v>-1.94</v>
      </c>
      <c r="J25" s="3">
        <v>0.04</v>
      </c>
      <c r="K25" s="3">
        <v>0</v>
      </c>
      <c r="L25" s="3">
        <v>0.04</v>
      </c>
      <c r="O25" s="3"/>
      <c r="P25" s="11">
        <v>482</v>
      </c>
      <c r="Q25" s="3">
        <v>-2.13</v>
      </c>
      <c r="R25" s="3">
        <v>2.1</v>
      </c>
      <c r="S25" s="3">
        <v>2.13</v>
      </c>
      <c r="T25" s="3">
        <v>0.14000000000000001</v>
      </c>
      <c r="U25" s="3">
        <v>0</v>
      </c>
      <c r="V25" s="3">
        <v>0.14000000000000001</v>
      </c>
    </row>
    <row r="26" spans="3:22" x14ac:dyDescent="0.25">
      <c r="E26" s="3"/>
      <c r="F26" s="11">
        <v>324</v>
      </c>
      <c r="G26" s="3">
        <v>0.44</v>
      </c>
      <c r="H26" s="3">
        <v>-0.41</v>
      </c>
      <c r="I26" s="3">
        <v>0.4</v>
      </c>
      <c r="J26" s="3">
        <v>-0.02</v>
      </c>
      <c r="K26" s="3">
        <v>0.32</v>
      </c>
      <c r="L26" s="3">
        <v>0.36</v>
      </c>
      <c r="O26" s="3"/>
      <c r="P26" s="11">
        <v>485</v>
      </c>
      <c r="Q26" s="3">
        <v>-0.61</v>
      </c>
      <c r="R26" s="3">
        <v>-0.57999999999999996</v>
      </c>
      <c r="S26" s="3">
        <v>-0.56000000000000005</v>
      </c>
      <c r="T26" s="3">
        <v>0.28000000000000003</v>
      </c>
      <c r="U26" s="3">
        <v>-0.4</v>
      </c>
      <c r="V26" s="3">
        <v>0.12</v>
      </c>
    </row>
    <row r="27" spans="3:22" x14ac:dyDescent="0.25">
      <c r="E27" s="3"/>
      <c r="F27" s="81" t="s">
        <v>293</v>
      </c>
      <c r="G27" s="85">
        <f>G23+G24+G25+G26</f>
        <v>3.1199999999999997</v>
      </c>
      <c r="H27" s="85">
        <f t="shared" ref="H27:L27" si="0">H23+H24+H25+H26</f>
        <v>-2.0000000000000073E-2</v>
      </c>
      <c r="I27" s="85">
        <f t="shared" si="0"/>
        <v>-3.1199999999999997</v>
      </c>
      <c r="J27" s="85">
        <f t="shared" si="0"/>
        <v>0.33999999999999997</v>
      </c>
      <c r="K27" s="85">
        <f t="shared" si="0"/>
        <v>0</v>
      </c>
      <c r="L27" s="85">
        <f t="shared" si="0"/>
        <v>0.73</v>
      </c>
      <c r="O27" s="3"/>
      <c r="P27" s="81" t="s">
        <v>293</v>
      </c>
      <c r="Q27" s="85">
        <f>Q23+Q24+Q25+Q26</f>
        <v>-4.12</v>
      </c>
      <c r="R27" s="85">
        <f t="shared" ref="R27:V27" si="1">R23+R24+R25+R26</f>
        <v>-0.97999999999999987</v>
      </c>
      <c r="S27" s="85">
        <f t="shared" si="1"/>
        <v>4.1199999999999992</v>
      </c>
      <c r="T27" s="85">
        <f t="shared" si="1"/>
        <v>0.70000000000000007</v>
      </c>
      <c r="U27" s="85">
        <f t="shared" si="1"/>
        <v>0</v>
      </c>
      <c r="V27" s="85">
        <f t="shared" si="1"/>
        <v>0.70000000000000007</v>
      </c>
    </row>
    <row r="28" spans="3:22" x14ac:dyDescent="0.25">
      <c r="E28" s="3"/>
      <c r="F28" s="81" t="s">
        <v>294</v>
      </c>
      <c r="G28" s="3">
        <f>(G27^2+I27^2)^0.5/$F$18</f>
        <v>0.15605482813389837</v>
      </c>
      <c r="O28" s="3"/>
      <c r="P28" s="81" t="s">
        <v>294</v>
      </c>
      <c r="Q28" s="3">
        <f>(Q27^2+S27^2)^0.5/$F$18</f>
        <v>0.2060724012537376</v>
      </c>
    </row>
    <row r="29" spans="3:22" x14ac:dyDescent="0.25">
      <c r="E29" s="3"/>
      <c r="F29" s="81" t="s">
        <v>299</v>
      </c>
      <c r="G29" s="3">
        <f>H27/$F$18</f>
        <v>-7.0735530263064852E-4</v>
      </c>
      <c r="O29" s="3"/>
      <c r="P29" s="81" t="s">
        <v>299</v>
      </c>
      <c r="Q29" s="3">
        <f>R27/$F$18</f>
        <v>-3.4660409828901645E-2</v>
      </c>
    </row>
    <row r="30" spans="3:22" x14ac:dyDescent="0.25">
      <c r="D30" t="s">
        <v>228</v>
      </c>
      <c r="E30" s="3" t="s">
        <v>236</v>
      </c>
      <c r="F30" s="11">
        <v>961</v>
      </c>
      <c r="G30" s="3">
        <v>-0.11</v>
      </c>
      <c r="H30" s="3">
        <v>-0.16</v>
      </c>
      <c r="I30" s="3">
        <v>-0.21</v>
      </c>
      <c r="J30" s="3">
        <v>0.34</v>
      </c>
      <c r="K30" s="3">
        <v>-0.72</v>
      </c>
      <c r="L30" s="3">
        <v>0.38</v>
      </c>
      <c r="N30" t="s">
        <v>228</v>
      </c>
      <c r="O30" s="3" t="s">
        <v>249</v>
      </c>
      <c r="P30" s="11">
        <v>956</v>
      </c>
      <c r="Q30" s="3">
        <v>0.79</v>
      </c>
      <c r="R30" s="3">
        <v>-0.84</v>
      </c>
      <c r="S30" s="3">
        <v>0.89</v>
      </c>
      <c r="T30" s="3">
        <v>0.34</v>
      </c>
      <c r="U30" s="3">
        <v>0.74</v>
      </c>
      <c r="V30" s="3">
        <v>0.4</v>
      </c>
    </row>
    <row r="31" spans="3:22" x14ac:dyDescent="0.25">
      <c r="D31" t="s">
        <v>221</v>
      </c>
      <c r="E31" s="11">
        <v>529</v>
      </c>
      <c r="F31" s="11">
        <v>962</v>
      </c>
      <c r="G31" s="3">
        <v>3.61</v>
      </c>
      <c r="H31" s="3">
        <v>-3.57</v>
      </c>
      <c r="I31" s="3">
        <v>-3.61</v>
      </c>
      <c r="J31" s="3">
        <v>0.3</v>
      </c>
      <c r="K31" s="3">
        <v>0</v>
      </c>
      <c r="L31" s="3">
        <v>0.3</v>
      </c>
      <c r="N31" t="s">
        <v>221</v>
      </c>
      <c r="O31" s="11">
        <v>526</v>
      </c>
      <c r="P31" s="11">
        <v>959</v>
      </c>
      <c r="Q31" s="3">
        <v>-4</v>
      </c>
      <c r="R31" s="3">
        <v>-3.98</v>
      </c>
      <c r="S31" s="3">
        <v>4.01</v>
      </c>
      <c r="T31" s="3">
        <v>0.3</v>
      </c>
      <c r="U31" s="3">
        <v>-0.1</v>
      </c>
      <c r="V31" s="3">
        <v>0.21</v>
      </c>
    </row>
    <row r="32" spans="3:22" x14ac:dyDescent="0.25">
      <c r="E32" s="3"/>
      <c r="F32" s="11">
        <v>963</v>
      </c>
      <c r="G32" s="3">
        <v>3.92</v>
      </c>
      <c r="H32" s="3">
        <v>3.89</v>
      </c>
      <c r="I32" s="3">
        <v>-3.92</v>
      </c>
      <c r="J32" s="3">
        <v>0.21</v>
      </c>
      <c r="K32" s="3">
        <v>0</v>
      </c>
      <c r="L32" s="3">
        <v>0.21</v>
      </c>
      <c r="O32" s="3"/>
      <c r="P32" s="11">
        <v>1118</v>
      </c>
      <c r="Q32" s="3">
        <v>-3.83</v>
      </c>
      <c r="R32" s="3">
        <v>3.8</v>
      </c>
      <c r="S32" s="3">
        <v>3.84</v>
      </c>
      <c r="T32" s="3">
        <v>0.32</v>
      </c>
      <c r="U32" s="3">
        <v>0.09</v>
      </c>
      <c r="V32" s="3">
        <v>0.22</v>
      </c>
    </row>
    <row r="33" spans="4:22" x14ac:dyDescent="0.25">
      <c r="E33" s="3"/>
      <c r="F33" s="11">
        <v>964</v>
      </c>
      <c r="G33" s="3">
        <v>0.21</v>
      </c>
      <c r="H33" s="3">
        <v>-0.16</v>
      </c>
      <c r="I33" s="3">
        <v>0.11</v>
      </c>
      <c r="J33" s="3">
        <v>0.38</v>
      </c>
      <c r="K33" s="3">
        <v>0.72</v>
      </c>
      <c r="L33" s="3">
        <v>0.34</v>
      </c>
      <c r="O33" s="3"/>
      <c r="P33" s="11">
        <v>1121</v>
      </c>
      <c r="Q33" s="3">
        <v>0.09</v>
      </c>
      <c r="R33" s="3">
        <v>0.13</v>
      </c>
      <c r="S33" s="3">
        <v>0.18</v>
      </c>
      <c r="T33" s="3">
        <v>0.48</v>
      </c>
      <c r="U33" s="3">
        <v>-0.74</v>
      </c>
      <c r="V33" s="3">
        <v>0.39</v>
      </c>
    </row>
    <row r="34" spans="4:22" x14ac:dyDescent="0.25">
      <c r="E34" s="3"/>
      <c r="F34" s="81" t="s">
        <v>293</v>
      </c>
      <c r="G34" s="85">
        <f>G30+G31+G32+G33</f>
        <v>7.63</v>
      </c>
      <c r="H34" s="85">
        <f t="shared" ref="H34:L34" si="2">H30+H31+H32+H33</f>
        <v>0</v>
      </c>
      <c r="I34" s="85">
        <f t="shared" si="2"/>
        <v>-7.63</v>
      </c>
      <c r="J34" s="85">
        <f t="shared" si="2"/>
        <v>1.23</v>
      </c>
      <c r="K34" s="85">
        <f t="shared" si="2"/>
        <v>0</v>
      </c>
      <c r="L34" s="85">
        <f t="shared" si="2"/>
        <v>1.23</v>
      </c>
      <c r="O34" s="3"/>
      <c r="P34" s="81" t="s">
        <v>293</v>
      </c>
      <c r="Q34" s="85">
        <f>Q30+Q31+Q32+Q33</f>
        <v>-6.95</v>
      </c>
      <c r="R34" s="85">
        <f t="shared" ref="R34:V34" si="3">R30+R31+R32+R33</f>
        <v>-0.89000000000000046</v>
      </c>
      <c r="S34" s="85">
        <f t="shared" si="3"/>
        <v>8.9199999999999982</v>
      </c>
      <c r="T34" s="85">
        <f t="shared" si="3"/>
        <v>1.44</v>
      </c>
      <c r="U34" s="85">
        <f t="shared" si="3"/>
        <v>-1.0000000000000009E-2</v>
      </c>
      <c r="V34" s="85">
        <f t="shared" si="3"/>
        <v>1.22</v>
      </c>
    </row>
    <row r="35" spans="4:22" x14ac:dyDescent="0.25">
      <c r="E35" s="3"/>
      <c r="F35" s="81" t="s">
        <v>294</v>
      </c>
      <c r="G35" s="3">
        <f>(G34^2+I34^2)^0.5/$F$18</f>
        <v>0.38163408290437328</v>
      </c>
      <c r="O35" s="3"/>
      <c r="P35" s="81" t="s">
        <v>294</v>
      </c>
      <c r="Q35" s="3">
        <f>(Q34^2+S34^2)^0.5/$F$18</f>
        <v>0.39993561671731398</v>
      </c>
    </row>
    <row r="36" spans="4:22" x14ac:dyDescent="0.25">
      <c r="E36" s="3"/>
      <c r="F36" s="81" t="s">
        <v>299</v>
      </c>
      <c r="G36" s="3">
        <f>H34/$F$18</f>
        <v>0</v>
      </c>
      <c r="O36" s="3"/>
      <c r="P36" s="81" t="s">
        <v>299</v>
      </c>
      <c r="Q36" s="3">
        <f>R34/$F$18</f>
        <v>-3.1477310967063764E-2</v>
      </c>
    </row>
    <row r="37" spans="4:22" x14ac:dyDescent="0.25">
      <c r="D37" t="s">
        <v>228</v>
      </c>
      <c r="E37" s="3" t="s">
        <v>237</v>
      </c>
      <c r="F37" s="11">
        <v>1761</v>
      </c>
      <c r="G37" s="3">
        <v>-0.02</v>
      </c>
      <c r="H37" s="3">
        <v>-0.06</v>
      </c>
      <c r="I37" s="3">
        <v>-0.11</v>
      </c>
      <c r="J37" s="3">
        <v>0.33</v>
      </c>
      <c r="K37" s="3">
        <v>-0.68</v>
      </c>
      <c r="L37" s="3">
        <v>0.36</v>
      </c>
      <c r="N37" t="s">
        <v>228</v>
      </c>
      <c r="O37" s="3" t="s">
        <v>250</v>
      </c>
      <c r="P37" s="11">
        <v>1756</v>
      </c>
      <c r="Q37" s="3">
        <v>0.55000000000000004</v>
      </c>
      <c r="R37" s="3">
        <v>-0.59</v>
      </c>
      <c r="S37" s="3">
        <v>0.63</v>
      </c>
      <c r="T37" s="3">
        <v>0.28000000000000003</v>
      </c>
      <c r="U37" s="3">
        <v>0.64</v>
      </c>
      <c r="V37" s="3">
        <v>0.36</v>
      </c>
    </row>
    <row r="38" spans="4:22" x14ac:dyDescent="0.25">
      <c r="D38" t="s">
        <v>221</v>
      </c>
      <c r="E38" s="11">
        <v>934</v>
      </c>
      <c r="F38" s="11">
        <v>1762</v>
      </c>
      <c r="G38" s="3">
        <v>3.58</v>
      </c>
      <c r="H38" s="3">
        <v>-3.54</v>
      </c>
      <c r="I38" s="3">
        <v>-3.58</v>
      </c>
      <c r="J38" s="3">
        <v>0.25</v>
      </c>
      <c r="K38" s="3">
        <v>0</v>
      </c>
      <c r="L38" s="3">
        <v>0.25</v>
      </c>
      <c r="N38" t="s">
        <v>221</v>
      </c>
      <c r="O38" s="11">
        <v>931</v>
      </c>
      <c r="P38" s="11">
        <v>1759</v>
      </c>
      <c r="Q38" s="3">
        <v>-3.59</v>
      </c>
      <c r="R38" s="3">
        <v>-3.56</v>
      </c>
      <c r="S38" s="3">
        <v>3.59</v>
      </c>
      <c r="T38" s="3">
        <v>0.22</v>
      </c>
      <c r="U38" s="3">
        <v>-0.06</v>
      </c>
      <c r="V38" s="3">
        <v>0.16</v>
      </c>
    </row>
    <row r="39" spans="4:22" x14ac:dyDescent="0.25">
      <c r="E39" s="3"/>
      <c r="F39" s="11">
        <v>1763</v>
      </c>
      <c r="G39" s="3">
        <v>3.7</v>
      </c>
      <c r="H39" s="3">
        <v>3.67</v>
      </c>
      <c r="I39" s="3">
        <v>-3.7</v>
      </c>
      <c r="J39" s="3">
        <v>0.22</v>
      </c>
      <c r="K39" s="3">
        <v>0</v>
      </c>
      <c r="L39" s="3">
        <v>0.22</v>
      </c>
      <c r="O39" s="3"/>
      <c r="P39" s="11">
        <v>1918</v>
      </c>
      <c r="Q39" s="3">
        <v>-3.24</v>
      </c>
      <c r="R39" s="3">
        <v>3.22</v>
      </c>
      <c r="S39" s="3">
        <v>3.25</v>
      </c>
      <c r="T39" s="3">
        <v>0.28999999999999998</v>
      </c>
      <c r="U39" s="3">
        <v>0.06</v>
      </c>
      <c r="V39" s="3">
        <v>0.23</v>
      </c>
    </row>
    <row r="40" spans="4:22" x14ac:dyDescent="0.25">
      <c r="E40" s="3"/>
      <c r="F40" s="11">
        <v>1764</v>
      </c>
      <c r="G40" s="3">
        <v>0.1</v>
      </c>
      <c r="H40" s="3">
        <v>-0.06</v>
      </c>
      <c r="I40" s="3">
        <v>0.02</v>
      </c>
      <c r="J40" s="3">
        <v>0.36</v>
      </c>
      <c r="K40" s="3">
        <v>0.68</v>
      </c>
      <c r="L40" s="3">
        <v>0.33</v>
      </c>
      <c r="O40" s="3"/>
      <c r="P40" s="11">
        <v>1921</v>
      </c>
      <c r="Q40" s="3">
        <v>0.01</v>
      </c>
      <c r="R40" s="3">
        <v>0.05</v>
      </c>
      <c r="S40" s="3">
        <v>0.09</v>
      </c>
      <c r="T40" s="3">
        <v>0.41</v>
      </c>
      <c r="U40" s="3">
        <v>-0.6</v>
      </c>
      <c r="V40" s="3">
        <v>0.33</v>
      </c>
    </row>
    <row r="41" spans="4:22" x14ac:dyDescent="0.25">
      <c r="E41" s="3"/>
      <c r="F41" s="81" t="s">
        <v>293</v>
      </c>
      <c r="G41" s="85">
        <f>G37+G38+G39+G40</f>
        <v>7.3599999999999994</v>
      </c>
      <c r="H41" s="85">
        <f t="shared" ref="H41:L41" si="4">H37+H38+H39+H40</f>
        <v>9.9999999999998423E-3</v>
      </c>
      <c r="I41" s="85">
        <f t="shared" si="4"/>
        <v>-7.370000000000001</v>
      </c>
      <c r="J41" s="85">
        <f t="shared" si="4"/>
        <v>1.1600000000000001</v>
      </c>
      <c r="K41" s="85">
        <f t="shared" si="4"/>
        <v>0</v>
      </c>
      <c r="L41" s="85">
        <f t="shared" si="4"/>
        <v>1.1599999999999999</v>
      </c>
      <c r="O41" s="3"/>
      <c r="P41" s="81" t="s">
        <v>293</v>
      </c>
      <c r="Q41" s="85">
        <f>Q37+Q38+Q39+Q40</f>
        <v>-6.2700000000000005</v>
      </c>
      <c r="R41" s="85">
        <f t="shared" ref="R41:V41" si="5">R37+R38+R39+R40</f>
        <v>-0.88000000000000012</v>
      </c>
      <c r="S41" s="85">
        <f t="shared" si="5"/>
        <v>7.56</v>
      </c>
      <c r="T41" s="85">
        <f t="shared" si="5"/>
        <v>1.2</v>
      </c>
      <c r="U41" s="85">
        <f t="shared" si="5"/>
        <v>4.0000000000000147E-2</v>
      </c>
      <c r="V41" s="85">
        <f t="shared" si="5"/>
        <v>1.08</v>
      </c>
    </row>
    <row r="42" spans="4:22" x14ac:dyDescent="0.25">
      <c r="E42" s="3"/>
      <c r="F42" s="81" t="s">
        <v>294</v>
      </c>
      <c r="G42" s="3">
        <f>(G41^2+I41^2)^0.5/$F$18</f>
        <v>0.36837951091825977</v>
      </c>
      <c r="O42" s="3"/>
      <c r="P42" s="81" t="s">
        <v>294</v>
      </c>
      <c r="Q42" s="3">
        <f>(Q41^2+S41^2)^0.5/$F$18</f>
        <v>0.34737285553620545</v>
      </c>
    </row>
    <row r="43" spans="4:22" x14ac:dyDescent="0.25">
      <c r="E43" s="3"/>
      <c r="F43" s="81" t="s">
        <v>299</v>
      </c>
      <c r="G43" s="3">
        <f>H41/$F$18</f>
        <v>3.5367765131531743E-4</v>
      </c>
      <c r="O43" s="3"/>
      <c r="P43" s="81" t="s">
        <v>299</v>
      </c>
      <c r="Q43" s="3">
        <f>R41/$F$18</f>
        <v>-3.1123633315748425E-2</v>
      </c>
    </row>
    <row r="44" spans="4:22" x14ac:dyDescent="0.25">
      <c r="D44" t="s">
        <v>228</v>
      </c>
      <c r="E44" s="3" t="s">
        <v>238</v>
      </c>
      <c r="F44" s="11">
        <v>2721</v>
      </c>
      <c r="G44" s="3">
        <v>0.01</v>
      </c>
      <c r="H44" s="3">
        <v>-0.01</v>
      </c>
      <c r="I44" s="3">
        <v>-0.03</v>
      </c>
      <c r="J44" s="3">
        <v>0.15</v>
      </c>
      <c r="K44" s="3">
        <v>-0.33</v>
      </c>
      <c r="L44" s="3">
        <v>0.17</v>
      </c>
      <c r="N44" t="s">
        <v>228</v>
      </c>
      <c r="O44" s="3" t="s">
        <v>251</v>
      </c>
      <c r="P44" s="11">
        <v>2716</v>
      </c>
      <c r="Q44" s="3">
        <v>0.44</v>
      </c>
      <c r="R44" s="3">
        <v>-0.46</v>
      </c>
      <c r="S44" s="3">
        <v>0.47</v>
      </c>
      <c r="T44" s="3">
        <v>0.08</v>
      </c>
      <c r="U44" s="3">
        <v>0.25</v>
      </c>
      <c r="V44" s="3">
        <v>0.17</v>
      </c>
    </row>
    <row r="45" spans="4:22" x14ac:dyDescent="0.25">
      <c r="D45" t="s">
        <v>221</v>
      </c>
      <c r="E45" s="11">
        <v>1420</v>
      </c>
      <c r="F45" s="11">
        <v>2722</v>
      </c>
      <c r="G45" s="3">
        <v>1.72</v>
      </c>
      <c r="H45" s="3">
        <v>-1.7</v>
      </c>
      <c r="I45" s="3">
        <v>-1.72</v>
      </c>
      <c r="J45" s="3">
        <v>0.11</v>
      </c>
      <c r="K45" s="3">
        <v>0</v>
      </c>
      <c r="L45" s="3">
        <v>0.11</v>
      </c>
      <c r="N45" t="s">
        <v>221</v>
      </c>
      <c r="O45" s="11">
        <v>1417</v>
      </c>
      <c r="P45" s="11">
        <v>2719</v>
      </c>
      <c r="Q45" s="3">
        <v>-1.52</v>
      </c>
      <c r="R45" s="3">
        <v>-1.52</v>
      </c>
      <c r="S45" s="3">
        <v>1.53</v>
      </c>
      <c r="T45" s="3">
        <v>0.05</v>
      </c>
      <c r="U45" s="3">
        <v>-0.04</v>
      </c>
      <c r="V45" s="3">
        <v>0.01</v>
      </c>
    </row>
    <row r="46" spans="4:22" x14ac:dyDescent="0.25">
      <c r="E46" s="3"/>
      <c r="F46" s="11">
        <v>2723</v>
      </c>
      <c r="G46" s="3">
        <v>1.73</v>
      </c>
      <c r="H46" s="3">
        <v>1.72</v>
      </c>
      <c r="I46" s="3">
        <v>-1.73</v>
      </c>
      <c r="J46" s="3">
        <v>0.12</v>
      </c>
      <c r="K46" s="3">
        <v>0</v>
      </c>
      <c r="L46" s="3">
        <v>0.12</v>
      </c>
      <c r="O46" s="3"/>
      <c r="P46" s="11">
        <v>2878</v>
      </c>
      <c r="Q46" s="3">
        <v>-1.0900000000000001</v>
      </c>
      <c r="R46" s="3">
        <v>1.08</v>
      </c>
      <c r="S46" s="3">
        <v>1.1000000000000001</v>
      </c>
      <c r="T46" s="3">
        <v>0.16</v>
      </c>
      <c r="U46" s="3">
        <v>0.04</v>
      </c>
      <c r="V46" s="3">
        <v>0.12</v>
      </c>
    </row>
    <row r="47" spans="4:22" x14ac:dyDescent="0.25">
      <c r="E47" s="3"/>
      <c r="F47" s="11">
        <v>2724</v>
      </c>
      <c r="G47" s="3">
        <v>0.03</v>
      </c>
      <c r="H47" s="3">
        <v>-0.01</v>
      </c>
      <c r="I47" s="3">
        <v>0.01</v>
      </c>
      <c r="J47" s="3">
        <v>0.17</v>
      </c>
      <c r="K47" s="3">
        <v>0.32</v>
      </c>
      <c r="L47" s="3">
        <v>0.15</v>
      </c>
      <c r="O47" s="3"/>
      <c r="P47" s="11">
        <v>2881</v>
      </c>
      <c r="Q47" s="3">
        <v>-0.01</v>
      </c>
      <c r="R47" s="3">
        <v>0</v>
      </c>
      <c r="S47" s="3">
        <v>0.02</v>
      </c>
      <c r="T47" s="3">
        <v>0.2</v>
      </c>
      <c r="U47" s="3">
        <v>-0.25</v>
      </c>
      <c r="V47" s="3">
        <v>0.05</v>
      </c>
    </row>
    <row r="48" spans="4:22" x14ac:dyDescent="0.25">
      <c r="E48" s="3"/>
      <c r="F48" s="81" t="s">
        <v>293</v>
      </c>
      <c r="G48" s="85">
        <f>G44+G45+G46+G47</f>
        <v>3.4899999999999998</v>
      </c>
      <c r="H48" s="85">
        <f t="shared" ref="H48:L48" si="6">H44+H45+H46+H47</f>
        <v>0</v>
      </c>
      <c r="I48" s="85">
        <f t="shared" si="6"/>
        <v>-3.47</v>
      </c>
      <c r="J48" s="85">
        <f t="shared" si="6"/>
        <v>0.55000000000000004</v>
      </c>
      <c r="K48" s="85">
        <f t="shared" si="6"/>
        <v>-1.0000000000000009E-2</v>
      </c>
      <c r="L48" s="85">
        <f t="shared" si="6"/>
        <v>0.55000000000000004</v>
      </c>
      <c r="O48" s="3"/>
      <c r="P48" s="81" t="s">
        <v>293</v>
      </c>
      <c r="Q48" s="85">
        <f>Q44+Q45+Q46+Q47</f>
        <v>-2.1799999999999997</v>
      </c>
      <c r="R48" s="85">
        <f t="shared" ref="R48:V48" si="7">R44+R45+R46+R47</f>
        <v>-0.89999999999999991</v>
      </c>
      <c r="S48" s="85">
        <f t="shared" si="7"/>
        <v>3.12</v>
      </c>
      <c r="T48" s="85">
        <f t="shared" si="7"/>
        <v>0.49000000000000005</v>
      </c>
      <c r="U48" s="85">
        <f t="shared" si="7"/>
        <v>0</v>
      </c>
      <c r="V48" s="85">
        <f t="shared" si="7"/>
        <v>0.35000000000000003</v>
      </c>
    </row>
    <row r="49" spans="4:22" x14ac:dyDescent="0.25">
      <c r="E49" s="3"/>
      <c r="F49" s="81" t="s">
        <v>294</v>
      </c>
      <c r="G49" s="3">
        <f>(G48^2+I48^2)^0.5/$F$18</f>
        <v>0.17406187309884893</v>
      </c>
      <c r="O49" s="3"/>
      <c r="P49" s="81" t="s">
        <v>294</v>
      </c>
      <c r="Q49" s="3">
        <f>(Q48^2+S48^2)^0.5/$F$18</f>
        <v>0.13461512229497691</v>
      </c>
    </row>
    <row r="50" spans="4:22" x14ac:dyDescent="0.25">
      <c r="E50" s="3"/>
      <c r="F50" s="81" t="s">
        <v>299</v>
      </c>
      <c r="G50" s="3">
        <f>H48/$F$18</f>
        <v>0</v>
      </c>
      <c r="O50" s="3"/>
      <c r="P50" s="81" t="s">
        <v>299</v>
      </c>
      <c r="Q50" s="3">
        <f>R48/$F$18</f>
        <v>-3.1830988618379068E-2</v>
      </c>
    </row>
    <row r="52" spans="4:22" ht="18" x14ac:dyDescent="0.35">
      <c r="D52" s="41" t="s">
        <v>151</v>
      </c>
      <c r="E52" s="2">
        <f>'Sand.panel_t-1,0'!H35</f>
        <v>5</v>
      </c>
      <c r="F52" t="s">
        <v>113</v>
      </c>
    </row>
    <row r="53" spans="4:22" ht="18" x14ac:dyDescent="0.35">
      <c r="D53" s="64" t="s">
        <v>153</v>
      </c>
      <c r="E53" s="65">
        <f>'Sand.panel_t-1,0'!I$22</f>
        <v>1230</v>
      </c>
      <c r="F53" s="3" t="s">
        <v>232</v>
      </c>
      <c r="G53" s="3" t="s">
        <v>222</v>
      </c>
      <c r="H53" s="3" t="s">
        <v>223</v>
      </c>
      <c r="I53" s="3" t="s">
        <v>224</v>
      </c>
      <c r="J53" s="3" t="s">
        <v>225</v>
      </c>
      <c r="K53" s="3" t="s">
        <v>226</v>
      </c>
      <c r="L53" s="3" t="s">
        <v>227</v>
      </c>
      <c r="N53" s="64" t="s">
        <v>153</v>
      </c>
      <c r="O53" s="65">
        <f>'Sand.panel_t-1,0'!I$22</f>
        <v>1230</v>
      </c>
      <c r="P53" s="3" t="s">
        <v>232</v>
      </c>
      <c r="Q53" s="3" t="s">
        <v>222</v>
      </c>
      <c r="R53" s="3" t="s">
        <v>223</v>
      </c>
      <c r="S53" s="3" t="s">
        <v>224</v>
      </c>
      <c r="T53" s="3" t="s">
        <v>225</v>
      </c>
      <c r="U53" s="3" t="s">
        <v>226</v>
      </c>
      <c r="V53" s="3" t="s">
        <v>227</v>
      </c>
    </row>
    <row r="54" spans="4:22" x14ac:dyDescent="0.25">
      <c r="D54" t="s">
        <v>228</v>
      </c>
      <c r="E54" s="3" t="s">
        <v>234</v>
      </c>
      <c r="F54" s="11">
        <v>321</v>
      </c>
      <c r="G54" s="3">
        <v>-0.45</v>
      </c>
      <c r="H54" s="3">
        <v>-0.47</v>
      </c>
      <c r="I54" s="3">
        <v>-0.52</v>
      </c>
      <c r="J54" s="3">
        <v>-0.1</v>
      </c>
      <c r="K54" s="3">
        <v>-0.48</v>
      </c>
      <c r="L54" s="3">
        <v>0.49</v>
      </c>
      <c r="N54" t="s">
        <v>228</v>
      </c>
      <c r="O54" s="3" t="s">
        <v>248</v>
      </c>
      <c r="P54" s="11">
        <v>320</v>
      </c>
      <c r="Q54" s="3">
        <v>0.56000000000000005</v>
      </c>
      <c r="R54" s="3">
        <v>-0.61</v>
      </c>
      <c r="S54" s="3">
        <v>0.64</v>
      </c>
      <c r="T54" s="3">
        <v>-0.12</v>
      </c>
      <c r="U54" s="3">
        <v>0.66</v>
      </c>
      <c r="V54" s="3">
        <v>0.81</v>
      </c>
    </row>
    <row r="55" spans="4:22" x14ac:dyDescent="0.25">
      <c r="D55" t="s">
        <v>221</v>
      </c>
      <c r="E55" s="11">
        <v>205</v>
      </c>
      <c r="F55" s="11">
        <v>322</v>
      </c>
      <c r="G55" s="3">
        <v>0.67</v>
      </c>
      <c r="H55" s="3">
        <v>-0.66</v>
      </c>
      <c r="I55" s="3">
        <v>-0.67</v>
      </c>
      <c r="J55" s="3">
        <v>0.38</v>
      </c>
      <c r="K55" s="3">
        <v>0</v>
      </c>
      <c r="L55" s="3">
        <v>0.38</v>
      </c>
      <c r="N55" t="s">
        <v>221</v>
      </c>
      <c r="O55" s="11">
        <v>204</v>
      </c>
      <c r="P55" s="11">
        <v>323</v>
      </c>
      <c r="Q55" s="3">
        <v>-1.56</v>
      </c>
      <c r="R55" s="3">
        <v>-1.57</v>
      </c>
      <c r="S55" s="3">
        <v>1.56</v>
      </c>
      <c r="T55" s="3">
        <v>0.25</v>
      </c>
      <c r="U55" s="3">
        <v>0</v>
      </c>
      <c r="V55" s="3">
        <v>0.25</v>
      </c>
    </row>
    <row r="56" spans="4:22" x14ac:dyDescent="0.25">
      <c r="E56" s="3"/>
      <c r="F56" s="11">
        <v>323</v>
      </c>
      <c r="G56" s="3">
        <v>1.56</v>
      </c>
      <c r="H56" s="3">
        <v>1.57</v>
      </c>
      <c r="I56" s="3">
        <v>-1.56</v>
      </c>
      <c r="J56" s="3">
        <v>-0.42</v>
      </c>
      <c r="K56" s="3">
        <v>0</v>
      </c>
      <c r="L56" s="3">
        <v>-0.42</v>
      </c>
      <c r="O56" s="3"/>
      <c r="P56" s="11">
        <v>482</v>
      </c>
      <c r="Q56" s="3">
        <v>-1.89</v>
      </c>
      <c r="R56" s="3">
        <v>1.88</v>
      </c>
      <c r="S56" s="3">
        <v>1.89</v>
      </c>
      <c r="T56" s="3">
        <v>-0.22</v>
      </c>
      <c r="U56" s="3">
        <v>0</v>
      </c>
      <c r="V56" s="3">
        <v>-0.22</v>
      </c>
    </row>
    <row r="57" spans="4:22" x14ac:dyDescent="0.25">
      <c r="E57" s="3"/>
      <c r="F57" s="11">
        <v>324</v>
      </c>
      <c r="G57" s="3">
        <v>0.52</v>
      </c>
      <c r="H57" s="3">
        <v>-0.47</v>
      </c>
      <c r="I57" s="3">
        <v>0.45</v>
      </c>
      <c r="J57" s="3">
        <v>0.49</v>
      </c>
      <c r="K57" s="3">
        <v>0.48</v>
      </c>
      <c r="L57" s="3">
        <v>-0.1</v>
      </c>
      <c r="O57" s="3"/>
      <c r="P57" s="11">
        <v>485</v>
      </c>
      <c r="Q57" s="3">
        <v>-0.64</v>
      </c>
      <c r="R57" s="3">
        <v>-0.61</v>
      </c>
      <c r="S57" s="3">
        <v>-0.56000000000000005</v>
      </c>
      <c r="T57" s="3">
        <v>0.05</v>
      </c>
      <c r="U57" s="3">
        <v>-0.65</v>
      </c>
      <c r="V57" s="3">
        <v>0.56000000000000005</v>
      </c>
    </row>
    <row r="58" spans="4:22" x14ac:dyDescent="0.25">
      <c r="E58" s="3"/>
      <c r="F58" s="81" t="s">
        <v>293</v>
      </c>
      <c r="G58" s="85">
        <f>G54+G55+G56+G57</f>
        <v>2.2999999999999998</v>
      </c>
      <c r="H58" s="85">
        <f t="shared" ref="H58:L58" si="8">H54+H55+H56+H57</f>
        <v>-2.9999999999999805E-2</v>
      </c>
      <c r="I58" s="85">
        <f t="shared" si="8"/>
        <v>-2.2999999999999998</v>
      </c>
      <c r="J58" s="85">
        <f t="shared" si="8"/>
        <v>0.35000000000000003</v>
      </c>
      <c r="K58" s="85">
        <f t="shared" si="8"/>
        <v>0</v>
      </c>
      <c r="L58" s="85">
        <f t="shared" si="8"/>
        <v>0.35</v>
      </c>
      <c r="O58" s="3"/>
      <c r="P58" s="81" t="s">
        <v>293</v>
      </c>
      <c r="Q58" s="85">
        <f>Q54+Q55+Q56+Q57</f>
        <v>-3.53</v>
      </c>
      <c r="R58" s="85">
        <f t="shared" ref="R58:V58" si="9">R54+R55+R56+R57</f>
        <v>-0.91000000000000025</v>
      </c>
      <c r="S58" s="85">
        <f t="shared" si="9"/>
        <v>3.53</v>
      </c>
      <c r="T58" s="85">
        <f t="shared" si="9"/>
        <v>-3.9999999999999994E-2</v>
      </c>
      <c r="U58" s="85">
        <f t="shared" si="9"/>
        <v>1.0000000000000009E-2</v>
      </c>
      <c r="V58" s="85">
        <f t="shared" si="9"/>
        <v>1.4000000000000001</v>
      </c>
    </row>
    <row r="59" spans="4:22" x14ac:dyDescent="0.25">
      <c r="E59" s="3"/>
      <c r="F59" s="81" t="s">
        <v>294</v>
      </c>
      <c r="G59" s="3">
        <f>(G58^2+I58^2)^0.5/$F$18</f>
        <v>0.11504041817563022</v>
      </c>
      <c r="O59" s="3"/>
      <c r="P59" s="81" t="s">
        <v>294</v>
      </c>
      <c r="Q59" s="3">
        <f>(Q58^2+S58^2)^0.5/$F$18</f>
        <v>0.17656203311303248</v>
      </c>
    </row>
    <row r="60" spans="4:22" x14ac:dyDescent="0.25">
      <c r="E60" s="3"/>
      <c r="F60" s="81" t="s">
        <v>299</v>
      </c>
      <c r="G60" s="3">
        <f>H58/$F$18</f>
        <v>-1.0610329539459621E-3</v>
      </c>
      <c r="O60" s="3"/>
      <c r="P60" s="81" t="s">
        <v>299</v>
      </c>
      <c r="Q60" s="3">
        <f>R58/$F$18</f>
        <v>-3.2184666269694399E-2</v>
      </c>
    </row>
    <row r="61" spans="4:22" x14ac:dyDescent="0.25">
      <c r="D61" t="s">
        <v>228</v>
      </c>
      <c r="E61" s="3" t="s">
        <v>236</v>
      </c>
      <c r="F61" s="11">
        <v>961</v>
      </c>
      <c r="G61" s="3">
        <v>-0.08</v>
      </c>
      <c r="H61" s="3">
        <v>-0.16</v>
      </c>
      <c r="I61" s="3">
        <v>-0.26</v>
      </c>
      <c r="J61" s="3">
        <v>0.38</v>
      </c>
      <c r="K61" s="3">
        <v>-1.35</v>
      </c>
      <c r="L61" s="3">
        <v>0.95</v>
      </c>
      <c r="N61" t="s">
        <v>228</v>
      </c>
      <c r="O61" s="3" t="s">
        <v>249</v>
      </c>
      <c r="P61" s="11">
        <v>956</v>
      </c>
      <c r="Q61" s="3">
        <v>0.74</v>
      </c>
      <c r="R61" s="3">
        <v>-0.84</v>
      </c>
      <c r="S61" s="3">
        <v>0.93</v>
      </c>
      <c r="T61" s="3">
        <v>0.3</v>
      </c>
      <c r="U61" s="3">
        <v>1.41</v>
      </c>
      <c r="V61" s="3">
        <v>1.1100000000000001</v>
      </c>
    </row>
    <row r="62" spans="4:22" x14ac:dyDescent="0.25">
      <c r="D62" t="s">
        <v>221</v>
      </c>
      <c r="E62" s="11">
        <v>529</v>
      </c>
      <c r="F62" s="11">
        <v>962</v>
      </c>
      <c r="G62" s="3">
        <v>3.57</v>
      </c>
      <c r="H62" s="3">
        <v>-3.57</v>
      </c>
      <c r="I62" s="3">
        <v>-3.57</v>
      </c>
      <c r="J62" s="3">
        <v>0.1</v>
      </c>
      <c r="K62" s="3">
        <v>0</v>
      </c>
      <c r="L62" s="3">
        <v>0.1</v>
      </c>
      <c r="N62" t="s">
        <v>221</v>
      </c>
      <c r="O62" s="11">
        <v>526</v>
      </c>
      <c r="P62" s="11">
        <v>959</v>
      </c>
      <c r="Q62" s="3">
        <v>-3.96</v>
      </c>
      <c r="R62" s="3">
        <v>-4</v>
      </c>
      <c r="S62" s="3">
        <v>3.98</v>
      </c>
      <c r="T62" s="3">
        <v>0.04</v>
      </c>
      <c r="U62" s="3">
        <v>-0.19</v>
      </c>
      <c r="V62" s="3">
        <v>-0.14000000000000001</v>
      </c>
    </row>
    <row r="63" spans="4:22" x14ac:dyDescent="0.25">
      <c r="E63" s="3"/>
      <c r="F63" s="11">
        <v>963</v>
      </c>
      <c r="G63" s="3">
        <v>3.88</v>
      </c>
      <c r="H63" s="3">
        <v>3.91</v>
      </c>
      <c r="I63" s="3">
        <v>-3.88</v>
      </c>
      <c r="J63" s="3">
        <v>-0.35</v>
      </c>
      <c r="K63" s="3">
        <v>0</v>
      </c>
      <c r="L63" s="3">
        <v>-0.35</v>
      </c>
      <c r="O63" s="3"/>
      <c r="P63" s="11">
        <v>1118</v>
      </c>
      <c r="Q63" s="3">
        <v>-3.8</v>
      </c>
      <c r="R63" s="3">
        <v>3.82</v>
      </c>
      <c r="S63" s="3">
        <v>3.82</v>
      </c>
      <c r="T63" s="3">
        <v>-7.0000000000000007E-2</v>
      </c>
      <c r="U63" s="3">
        <v>0.18</v>
      </c>
      <c r="V63" s="3">
        <v>-0.26</v>
      </c>
    </row>
    <row r="64" spans="4:22" x14ac:dyDescent="0.25">
      <c r="E64" s="3"/>
      <c r="F64" s="11">
        <v>964</v>
      </c>
      <c r="G64" s="3">
        <v>0.26</v>
      </c>
      <c r="H64" s="3">
        <v>-0.16</v>
      </c>
      <c r="I64" s="3">
        <v>0.08</v>
      </c>
      <c r="J64" s="3">
        <v>0.95</v>
      </c>
      <c r="K64" s="3">
        <v>1.35</v>
      </c>
      <c r="L64" s="3">
        <v>0.38</v>
      </c>
      <c r="O64" s="3"/>
      <c r="P64" s="11">
        <v>1121</v>
      </c>
      <c r="Q64" s="3">
        <v>0.05</v>
      </c>
      <c r="R64" s="3">
        <v>0.13</v>
      </c>
      <c r="S64" s="3">
        <v>0.23</v>
      </c>
      <c r="T64" s="3">
        <v>1.1100000000000001</v>
      </c>
      <c r="U64" s="3">
        <v>-1.41</v>
      </c>
      <c r="V64" s="3">
        <v>0.32</v>
      </c>
    </row>
    <row r="65" spans="4:22" x14ac:dyDescent="0.25">
      <c r="E65" s="3"/>
      <c r="F65" s="81" t="s">
        <v>293</v>
      </c>
      <c r="G65" s="85">
        <f>G61+G62+G63+G64</f>
        <v>7.629999999999999</v>
      </c>
      <c r="H65" s="85">
        <f t="shared" ref="H65:L65" si="10">H61+H62+H63+H64</f>
        <v>2.0000000000000157E-2</v>
      </c>
      <c r="I65" s="85">
        <f t="shared" si="10"/>
        <v>-7.63</v>
      </c>
      <c r="J65" s="85">
        <f t="shared" si="10"/>
        <v>1.08</v>
      </c>
      <c r="K65" s="85">
        <f t="shared" si="10"/>
        <v>0</v>
      </c>
      <c r="L65" s="85">
        <f t="shared" si="10"/>
        <v>1.08</v>
      </c>
      <c r="O65" s="3"/>
      <c r="P65" s="81" t="s">
        <v>293</v>
      </c>
      <c r="Q65" s="85">
        <f>Q61+Q62+Q63+Q64</f>
        <v>-6.97</v>
      </c>
      <c r="R65" s="85">
        <f t="shared" ref="R65:V65" si="11">R61+R62+R63+R64</f>
        <v>-0.89</v>
      </c>
      <c r="S65" s="85">
        <f t="shared" si="11"/>
        <v>8.9600000000000009</v>
      </c>
      <c r="T65" s="85">
        <f t="shared" si="11"/>
        <v>1.3800000000000001</v>
      </c>
      <c r="U65" s="85">
        <f t="shared" si="11"/>
        <v>-1.0000000000000009E-2</v>
      </c>
      <c r="V65" s="85">
        <f t="shared" si="11"/>
        <v>1.03</v>
      </c>
    </row>
    <row r="66" spans="4:22" x14ac:dyDescent="0.25">
      <c r="E66" s="3"/>
      <c r="F66" s="81" t="s">
        <v>294</v>
      </c>
      <c r="G66" s="3">
        <f>(G65^2+I65^2)^0.5/$F$18</f>
        <v>0.38163408290437328</v>
      </c>
      <c r="O66" s="3"/>
      <c r="P66" s="81" t="s">
        <v>294</v>
      </c>
      <c r="Q66" s="3">
        <f>(Q65^2+S65^2)^0.5/$F$18</f>
        <v>0.40148645145891421</v>
      </c>
    </row>
    <row r="67" spans="4:22" x14ac:dyDescent="0.25">
      <c r="E67" s="3"/>
      <c r="F67" s="81" t="s">
        <v>299</v>
      </c>
      <c r="G67" s="3">
        <f>H65/$F$18</f>
        <v>7.0735530263065145E-4</v>
      </c>
      <c r="O67" s="3"/>
      <c r="P67" s="81" t="s">
        <v>299</v>
      </c>
      <c r="Q67" s="3">
        <f>R65/$F$18</f>
        <v>-3.1477310967063743E-2</v>
      </c>
    </row>
    <row r="68" spans="4:22" x14ac:dyDescent="0.25">
      <c r="D68" t="s">
        <v>228</v>
      </c>
      <c r="E68" s="3" t="s">
        <v>237</v>
      </c>
      <c r="F68" s="11">
        <v>1761</v>
      </c>
      <c r="G68" s="3">
        <v>0.02</v>
      </c>
      <c r="H68" s="3">
        <v>-0.06</v>
      </c>
      <c r="I68" s="3">
        <v>-0.15</v>
      </c>
      <c r="J68" s="3">
        <v>0.41</v>
      </c>
      <c r="K68" s="3">
        <v>-1.3</v>
      </c>
      <c r="L68" s="3">
        <v>0.89</v>
      </c>
      <c r="N68" t="s">
        <v>228</v>
      </c>
      <c r="O68" s="3" t="s">
        <v>250</v>
      </c>
      <c r="P68" s="11">
        <v>1756</v>
      </c>
      <c r="Q68" s="3">
        <v>0.49</v>
      </c>
      <c r="R68" s="3">
        <v>-0.59</v>
      </c>
      <c r="S68" s="3">
        <v>0.66</v>
      </c>
      <c r="T68" s="3">
        <v>0.25</v>
      </c>
      <c r="U68" s="3">
        <v>1.23</v>
      </c>
      <c r="V68" s="3">
        <v>0.97</v>
      </c>
    </row>
    <row r="69" spans="4:22" x14ac:dyDescent="0.25">
      <c r="D69" t="s">
        <v>221</v>
      </c>
      <c r="E69" s="11">
        <v>934</v>
      </c>
      <c r="F69" s="11">
        <v>1762</v>
      </c>
      <c r="G69" s="3">
        <v>3.55</v>
      </c>
      <c r="H69" s="3">
        <v>-3.56</v>
      </c>
      <c r="I69" s="3">
        <v>-3.55</v>
      </c>
      <c r="J69" s="3">
        <v>-0.1</v>
      </c>
      <c r="K69" s="3">
        <v>0</v>
      </c>
      <c r="L69" s="3">
        <v>-0.1</v>
      </c>
      <c r="N69" t="s">
        <v>221</v>
      </c>
      <c r="O69" s="11">
        <v>931</v>
      </c>
      <c r="P69" s="11">
        <v>1759</v>
      </c>
      <c r="Q69" s="3">
        <v>-3.55</v>
      </c>
      <c r="R69" s="3">
        <v>-3.58</v>
      </c>
      <c r="S69" s="3">
        <v>3.56</v>
      </c>
      <c r="T69" s="3">
        <v>-0.19</v>
      </c>
      <c r="U69" s="3">
        <v>-0.12</v>
      </c>
      <c r="V69" s="3">
        <v>-0.3</v>
      </c>
    </row>
    <row r="70" spans="4:22" x14ac:dyDescent="0.25">
      <c r="E70" s="3"/>
      <c r="F70" s="11">
        <v>1763</v>
      </c>
      <c r="G70" s="3">
        <v>3.66</v>
      </c>
      <c r="H70" s="3">
        <v>3.69</v>
      </c>
      <c r="I70" s="3">
        <v>-3.66</v>
      </c>
      <c r="J70" s="3">
        <v>-0.13</v>
      </c>
      <c r="K70" s="3">
        <v>0</v>
      </c>
      <c r="L70" s="3">
        <v>-0.13</v>
      </c>
      <c r="O70" s="3"/>
      <c r="P70" s="11">
        <v>1918</v>
      </c>
      <c r="Q70" s="3">
        <v>-3.22</v>
      </c>
      <c r="R70" s="3">
        <v>3.23</v>
      </c>
      <c r="S70" s="3">
        <v>3.23</v>
      </c>
      <c r="T70" s="3">
        <v>0.1</v>
      </c>
      <c r="U70" s="3">
        <v>0.11</v>
      </c>
      <c r="V70" s="3">
        <v>0.01</v>
      </c>
    </row>
    <row r="71" spans="4:22" x14ac:dyDescent="0.25">
      <c r="E71" s="3"/>
      <c r="F71" s="11">
        <v>1764</v>
      </c>
      <c r="G71" s="3">
        <v>0.15</v>
      </c>
      <c r="H71" s="3">
        <v>-0.06</v>
      </c>
      <c r="I71" s="3">
        <v>-0.02</v>
      </c>
      <c r="J71" s="3">
        <v>0.89</v>
      </c>
      <c r="K71" s="3">
        <v>1.3</v>
      </c>
      <c r="L71" s="3">
        <v>0.41</v>
      </c>
      <c r="O71" s="3"/>
      <c r="P71" s="11">
        <v>1921</v>
      </c>
      <c r="Q71" s="3">
        <v>-0.03</v>
      </c>
      <c r="R71" s="3">
        <v>0.04</v>
      </c>
      <c r="S71" s="3">
        <v>0.13</v>
      </c>
      <c r="T71" s="3">
        <v>0.96</v>
      </c>
      <c r="U71" s="3">
        <v>-1.22</v>
      </c>
      <c r="V71" s="3">
        <v>0.27</v>
      </c>
    </row>
    <row r="72" spans="4:22" x14ac:dyDescent="0.25">
      <c r="E72" s="3"/>
      <c r="F72" s="81" t="s">
        <v>293</v>
      </c>
      <c r="G72" s="85">
        <f>G68+G69+G70+G71</f>
        <v>7.3800000000000008</v>
      </c>
      <c r="H72" s="85">
        <f t="shared" ref="H72:L72" si="12">H68+H69+H70+H71</f>
        <v>9.9999999999998423E-3</v>
      </c>
      <c r="I72" s="85">
        <f t="shared" si="12"/>
        <v>-7.379999999999999</v>
      </c>
      <c r="J72" s="85">
        <f t="shared" si="12"/>
        <v>1.0699999999999998</v>
      </c>
      <c r="K72" s="85">
        <f t="shared" si="12"/>
        <v>0</v>
      </c>
      <c r="L72" s="85">
        <f t="shared" si="12"/>
        <v>1.07</v>
      </c>
      <c r="O72" s="3"/>
      <c r="P72" s="81" t="s">
        <v>293</v>
      </c>
      <c r="Q72" s="85">
        <f>Q68+Q69+Q70+Q71</f>
        <v>-6.31</v>
      </c>
      <c r="R72" s="85">
        <f t="shared" ref="R72:V72" si="13">R68+R69+R70+R71</f>
        <v>-0.89999999999999991</v>
      </c>
      <c r="S72" s="85">
        <f t="shared" si="13"/>
        <v>7.5799999999999992</v>
      </c>
      <c r="T72" s="85">
        <f t="shared" si="13"/>
        <v>1.1199999999999999</v>
      </c>
      <c r="U72" s="85">
        <f t="shared" si="13"/>
        <v>0</v>
      </c>
      <c r="V72" s="85">
        <f t="shared" si="13"/>
        <v>0.95</v>
      </c>
    </row>
    <row r="73" spans="4:22" x14ac:dyDescent="0.25">
      <c r="E73" s="3"/>
      <c r="F73" s="81" t="s">
        <v>294</v>
      </c>
      <c r="G73" s="3">
        <f>(G72^2+I72^2)^0.5/$F$18</f>
        <v>0.3691296896244135</v>
      </c>
      <c r="O73" s="3"/>
      <c r="P73" s="81" t="s">
        <v>294</v>
      </c>
      <c r="Q73" s="3">
        <f>(Q72^2+S72^2)^0.5/$F$18</f>
        <v>0.34882102729703557</v>
      </c>
    </row>
    <row r="74" spans="4:22" x14ac:dyDescent="0.25">
      <c r="E74" s="3"/>
      <c r="F74" s="81" t="s">
        <v>299</v>
      </c>
      <c r="G74" s="3">
        <f>H72/$F$18</f>
        <v>3.5367765131531743E-4</v>
      </c>
      <c r="O74" s="3"/>
      <c r="P74" s="81" t="s">
        <v>299</v>
      </c>
      <c r="Q74" s="3">
        <f>R72/$F$18</f>
        <v>-3.1830988618379068E-2</v>
      </c>
    </row>
    <row r="75" spans="4:22" x14ac:dyDescent="0.25">
      <c r="D75" t="s">
        <v>228</v>
      </c>
      <c r="E75" s="3" t="s">
        <v>238</v>
      </c>
      <c r="F75" s="11">
        <v>2721</v>
      </c>
      <c r="G75" s="3">
        <v>0.03</v>
      </c>
      <c r="H75" s="3">
        <v>-0.01</v>
      </c>
      <c r="I75" s="3">
        <v>-0.05</v>
      </c>
      <c r="J75" s="3">
        <v>0.1</v>
      </c>
      <c r="K75" s="3">
        <v>-0.62</v>
      </c>
      <c r="L75" s="3">
        <v>0.51</v>
      </c>
      <c r="N75" t="s">
        <v>228</v>
      </c>
      <c r="O75" s="3" t="s">
        <v>251</v>
      </c>
      <c r="P75" s="11">
        <v>2716</v>
      </c>
      <c r="Q75" s="3">
        <v>0.42</v>
      </c>
      <c r="R75" s="3">
        <v>-0.46</v>
      </c>
      <c r="S75" s="3">
        <v>0.48</v>
      </c>
      <c r="T75" s="3">
        <v>-0.09</v>
      </c>
      <c r="U75" s="3">
        <v>0.47</v>
      </c>
      <c r="V75" s="3">
        <v>0.56000000000000005</v>
      </c>
    </row>
    <row r="76" spans="4:22" x14ac:dyDescent="0.25">
      <c r="D76" t="s">
        <v>221</v>
      </c>
      <c r="E76" s="11">
        <v>1420</v>
      </c>
      <c r="F76" s="11">
        <v>2722</v>
      </c>
      <c r="G76" s="3">
        <v>1.7</v>
      </c>
      <c r="H76" s="3">
        <v>-1.7</v>
      </c>
      <c r="I76" s="3">
        <v>-1.7</v>
      </c>
      <c r="J76" s="3">
        <v>-0.21</v>
      </c>
      <c r="K76" s="3">
        <v>0</v>
      </c>
      <c r="L76" s="3">
        <v>0.21</v>
      </c>
      <c r="N76" t="s">
        <v>221</v>
      </c>
      <c r="O76" s="11">
        <v>1417</v>
      </c>
      <c r="P76" s="11">
        <v>2719</v>
      </c>
      <c r="Q76" s="3">
        <v>-1.5</v>
      </c>
      <c r="R76" s="3">
        <v>-1.52</v>
      </c>
      <c r="S76" s="3">
        <v>1.51</v>
      </c>
      <c r="T76" s="3">
        <v>-0.28999999999999998</v>
      </c>
      <c r="U76" s="3">
        <v>-0.08</v>
      </c>
      <c r="V76" s="3">
        <v>-0.38</v>
      </c>
    </row>
    <row r="77" spans="4:22" x14ac:dyDescent="0.25">
      <c r="E77" s="3"/>
      <c r="F77" s="11">
        <v>2723</v>
      </c>
      <c r="G77" s="3">
        <v>1.71</v>
      </c>
      <c r="H77" s="3">
        <v>1.72</v>
      </c>
      <c r="I77" s="3">
        <v>-1.71</v>
      </c>
      <c r="J77" s="3">
        <v>0.11</v>
      </c>
      <c r="K77" s="3">
        <v>0</v>
      </c>
      <c r="L77" s="3">
        <v>0.11</v>
      </c>
      <c r="O77" s="3"/>
      <c r="P77" s="11">
        <v>2878</v>
      </c>
      <c r="Q77" s="3">
        <v>-1.08</v>
      </c>
      <c r="R77" s="3">
        <v>1.08</v>
      </c>
      <c r="S77" s="3">
        <v>1.0900000000000001</v>
      </c>
      <c r="T77" s="3">
        <v>0.3</v>
      </c>
      <c r="U77" s="3">
        <v>0.08</v>
      </c>
      <c r="V77" s="3">
        <v>0.22</v>
      </c>
    </row>
    <row r="78" spans="4:22" x14ac:dyDescent="0.25">
      <c r="E78" s="3"/>
      <c r="F78" s="11">
        <v>2724</v>
      </c>
      <c r="G78" s="3">
        <v>0.06</v>
      </c>
      <c r="H78" s="3">
        <v>-0.01</v>
      </c>
      <c r="I78" s="3">
        <v>-0.03</v>
      </c>
      <c r="J78" s="3">
        <v>0.51</v>
      </c>
      <c r="K78" s="3">
        <v>0.62</v>
      </c>
      <c r="L78" s="3">
        <v>0.1</v>
      </c>
      <c r="O78" s="3"/>
      <c r="P78" s="11">
        <v>2881</v>
      </c>
      <c r="Q78" s="3">
        <v>-0.02</v>
      </c>
      <c r="R78" s="3">
        <v>0</v>
      </c>
      <c r="S78" s="3">
        <v>0.04</v>
      </c>
      <c r="T78" s="3">
        <v>0.55000000000000004</v>
      </c>
      <c r="U78" s="3">
        <v>-0.47</v>
      </c>
      <c r="V78" s="3">
        <v>-0.08</v>
      </c>
    </row>
    <row r="79" spans="4:22" x14ac:dyDescent="0.25">
      <c r="E79" s="3"/>
      <c r="F79" s="81" t="s">
        <v>293</v>
      </c>
      <c r="G79" s="85">
        <f>G75+G76+G77+G78</f>
        <v>3.5</v>
      </c>
      <c r="H79" s="85">
        <f t="shared" ref="H79:L79" si="14">H75+H76+H77+H78</f>
        <v>0</v>
      </c>
      <c r="I79" s="85">
        <f t="shared" si="14"/>
        <v>-3.4899999999999998</v>
      </c>
      <c r="J79" s="85">
        <f t="shared" si="14"/>
        <v>0.51</v>
      </c>
      <c r="K79" s="85">
        <f t="shared" si="14"/>
        <v>0</v>
      </c>
      <c r="L79" s="85">
        <f t="shared" si="14"/>
        <v>0.92999999999999994</v>
      </c>
      <c r="O79" s="3"/>
      <c r="P79" s="81" t="s">
        <v>293</v>
      </c>
      <c r="Q79" s="85">
        <f>Q75+Q76+Q77+Q78</f>
        <v>-2.1800000000000002</v>
      </c>
      <c r="R79" s="85">
        <f t="shared" ref="R79:V79" si="15">R75+R76+R77+R78</f>
        <v>-0.89999999999999991</v>
      </c>
      <c r="S79" s="85">
        <f t="shared" si="15"/>
        <v>3.12</v>
      </c>
      <c r="T79" s="85">
        <f t="shared" si="15"/>
        <v>0.47000000000000003</v>
      </c>
      <c r="U79" s="85">
        <f t="shared" si="15"/>
        <v>0</v>
      </c>
      <c r="V79" s="85">
        <f t="shared" si="15"/>
        <v>0.32</v>
      </c>
    </row>
    <row r="80" spans="4:22" x14ac:dyDescent="0.25">
      <c r="E80" s="3"/>
      <c r="F80" s="81" t="s">
        <v>294</v>
      </c>
      <c r="G80" s="3">
        <f>(G79^2+I79^2)^0.5/$F$18</f>
        <v>0.17481159694349305</v>
      </c>
      <c r="O80" s="3"/>
      <c r="P80" s="81" t="s">
        <v>294</v>
      </c>
      <c r="Q80" s="3">
        <f>(Q79^2+S79^2)^0.5/$F$18</f>
        <v>0.13461512229497694</v>
      </c>
    </row>
    <row r="81" spans="4:22" x14ac:dyDescent="0.25">
      <c r="E81" s="3"/>
      <c r="F81" s="81" t="s">
        <v>299</v>
      </c>
      <c r="G81" s="3">
        <f>H79/$F$18</f>
        <v>0</v>
      </c>
      <c r="O81" s="3"/>
      <c r="P81" s="81" t="s">
        <v>299</v>
      </c>
      <c r="Q81" s="3">
        <f>R79/$F$18</f>
        <v>-3.1830988618379068E-2</v>
      </c>
    </row>
    <row r="83" spans="4:22" ht="18" x14ac:dyDescent="0.35">
      <c r="D83" s="64" t="s">
        <v>154</v>
      </c>
      <c r="E83" s="65">
        <f>'Sand.panel_t-1,0'!I$24</f>
        <v>1530</v>
      </c>
      <c r="F83" s="3" t="s">
        <v>232</v>
      </c>
      <c r="G83" s="3" t="s">
        <v>222</v>
      </c>
      <c r="H83" s="3" t="s">
        <v>223</v>
      </c>
      <c r="I83" s="3" t="s">
        <v>224</v>
      </c>
      <c r="J83" s="3" t="s">
        <v>225</v>
      </c>
      <c r="K83" s="3" t="s">
        <v>226</v>
      </c>
      <c r="L83" s="3" t="s">
        <v>227</v>
      </c>
      <c r="N83" s="64" t="s">
        <v>154</v>
      </c>
      <c r="O83" s="65">
        <f>'Sand.panel_t-1,0'!I$24</f>
        <v>1530</v>
      </c>
      <c r="P83" s="3" t="s">
        <v>232</v>
      </c>
      <c r="Q83" s="3" t="s">
        <v>222</v>
      </c>
      <c r="R83" s="3" t="s">
        <v>223</v>
      </c>
      <c r="S83" s="3" t="s">
        <v>224</v>
      </c>
      <c r="T83" s="3" t="s">
        <v>225</v>
      </c>
      <c r="U83" s="3" t="s">
        <v>226</v>
      </c>
      <c r="V83" s="3" t="s">
        <v>227</v>
      </c>
    </row>
    <row r="84" spans="4:22" x14ac:dyDescent="0.25">
      <c r="D84" t="s">
        <v>228</v>
      </c>
      <c r="E84" s="3" t="s">
        <v>234</v>
      </c>
      <c r="F84" s="11" t="s">
        <v>241</v>
      </c>
      <c r="N84" t="s">
        <v>228</v>
      </c>
      <c r="O84" s="3" t="s">
        <v>248</v>
      </c>
      <c r="P84" s="11" t="s">
        <v>241</v>
      </c>
    </row>
    <row r="85" spans="4:22" x14ac:dyDescent="0.25">
      <c r="D85" t="s">
        <v>221</v>
      </c>
      <c r="E85" s="11" t="s">
        <v>235</v>
      </c>
      <c r="F85" s="11" t="s">
        <v>242</v>
      </c>
      <c r="N85" t="s">
        <v>221</v>
      </c>
      <c r="O85" s="11" t="s">
        <v>235</v>
      </c>
      <c r="P85" s="11" t="s">
        <v>242</v>
      </c>
    </row>
    <row r="86" spans="4:22" x14ac:dyDescent="0.25">
      <c r="E86" s="3"/>
      <c r="F86" s="11" t="s">
        <v>243</v>
      </c>
      <c r="O86" s="3"/>
      <c r="P86" s="11" t="s">
        <v>243</v>
      </c>
    </row>
    <row r="87" spans="4:22" x14ac:dyDescent="0.25">
      <c r="E87" s="3"/>
      <c r="F87" s="11" t="s">
        <v>244</v>
      </c>
      <c r="O87" s="3"/>
      <c r="P87" s="11" t="s">
        <v>244</v>
      </c>
    </row>
    <row r="88" spans="4:22" x14ac:dyDescent="0.25">
      <c r="D88" t="s">
        <v>228</v>
      </c>
      <c r="E88" s="3" t="s">
        <v>236</v>
      </c>
      <c r="F88" s="11" t="s">
        <v>241</v>
      </c>
      <c r="N88" t="s">
        <v>228</v>
      </c>
      <c r="O88" s="3" t="s">
        <v>249</v>
      </c>
      <c r="P88" s="11" t="s">
        <v>241</v>
      </c>
    </row>
    <row r="89" spans="4:22" x14ac:dyDescent="0.25">
      <c r="D89" t="s">
        <v>221</v>
      </c>
      <c r="E89" s="11" t="s">
        <v>235</v>
      </c>
      <c r="F89" s="11" t="s">
        <v>242</v>
      </c>
      <c r="N89" t="s">
        <v>221</v>
      </c>
      <c r="O89" s="11" t="s">
        <v>235</v>
      </c>
      <c r="P89" s="11" t="s">
        <v>242</v>
      </c>
    </row>
    <row r="90" spans="4:22" x14ac:dyDescent="0.25">
      <c r="E90" s="3"/>
      <c r="F90" s="11" t="s">
        <v>243</v>
      </c>
      <c r="O90" s="3"/>
      <c r="P90" s="11" t="s">
        <v>243</v>
      </c>
    </row>
    <row r="91" spans="4:22" x14ac:dyDescent="0.25">
      <c r="E91" s="3"/>
      <c r="F91" s="11" t="s">
        <v>244</v>
      </c>
      <c r="O91" s="3"/>
      <c r="P91" s="11" t="s">
        <v>244</v>
      </c>
    </row>
    <row r="92" spans="4:22" x14ac:dyDescent="0.25">
      <c r="D92" t="s">
        <v>228</v>
      </c>
      <c r="E92" s="3" t="s">
        <v>237</v>
      </c>
      <c r="F92" s="11" t="s">
        <v>241</v>
      </c>
      <c r="N92" t="s">
        <v>228</v>
      </c>
      <c r="O92" s="3" t="s">
        <v>250</v>
      </c>
      <c r="P92" s="11" t="s">
        <v>241</v>
      </c>
    </row>
    <row r="93" spans="4:22" x14ac:dyDescent="0.25">
      <c r="D93" t="s">
        <v>221</v>
      </c>
      <c r="E93" s="11" t="s">
        <v>235</v>
      </c>
      <c r="F93" s="11" t="s">
        <v>242</v>
      </c>
      <c r="N93" t="s">
        <v>221</v>
      </c>
      <c r="O93" s="11" t="s">
        <v>235</v>
      </c>
      <c r="P93" s="11" t="s">
        <v>242</v>
      </c>
    </row>
    <row r="94" spans="4:22" x14ac:dyDescent="0.25">
      <c r="E94" s="3"/>
      <c r="F94" s="11" t="s">
        <v>243</v>
      </c>
      <c r="O94" s="3"/>
      <c r="P94" s="11" t="s">
        <v>243</v>
      </c>
    </row>
    <row r="95" spans="4:22" x14ac:dyDescent="0.25">
      <c r="E95" s="3"/>
      <c r="F95" s="11" t="s">
        <v>244</v>
      </c>
      <c r="O95" s="3"/>
      <c r="P95" s="11" t="s">
        <v>244</v>
      </c>
    </row>
    <row r="96" spans="4:22" x14ac:dyDescent="0.25">
      <c r="D96" t="s">
        <v>228</v>
      </c>
      <c r="E96" s="3" t="s">
        <v>238</v>
      </c>
      <c r="F96" s="11" t="s">
        <v>241</v>
      </c>
      <c r="N96" t="s">
        <v>228</v>
      </c>
      <c r="O96" s="3" t="s">
        <v>251</v>
      </c>
      <c r="P96" s="11" t="s">
        <v>241</v>
      </c>
    </row>
    <row r="97" spans="4:16" x14ac:dyDescent="0.25">
      <c r="D97" t="s">
        <v>221</v>
      </c>
      <c r="E97" s="11" t="s">
        <v>235</v>
      </c>
      <c r="F97" s="11" t="s">
        <v>242</v>
      </c>
      <c r="N97" t="s">
        <v>221</v>
      </c>
      <c r="O97" s="11" t="s">
        <v>235</v>
      </c>
      <c r="P97" s="11" t="s">
        <v>242</v>
      </c>
    </row>
    <row r="98" spans="4:16" x14ac:dyDescent="0.25">
      <c r="E98" s="3"/>
      <c r="F98" s="11" t="s">
        <v>243</v>
      </c>
      <c r="O98" s="3"/>
      <c r="P98" s="11" t="s">
        <v>243</v>
      </c>
    </row>
    <row r="99" spans="4:16" x14ac:dyDescent="0.25">
      <c r="E99" s="3"/>
      <c r="F99" s="11" t="s">
        <v>244</v>
      </c>
      <c r="O99" s="3"/>
      <c r="P99" s="11" t="s">
        <v>244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65A89-DA08-4281-9B27-8E61FBC516E1}">
  <dimension ref="B1:V100"/>
  <sheetViews>
    <sheetView zoomScaleNormal="100" workbookViewId="0">
      <selection activeCell="Q18" sqref="Q18"/>
    </sheetView>
  </sheetViews>
  <sheetFormatPr defaultRowHeight="15" x14ac:dyDescent="0.25"/>
  <cols>
    <col min="1" max="1" width="1.5703125" customWidth="1"/>
    <col min="5" max="5" width="9.140625" customWidth="1"/>
    <col min="6" max="10" width="9.140625" style="3" customWidth="1"/>
    <col min="11" max="11" width="9.140625" style="3"/>
    <col min="12" max="12" width="9.140625" style="3" customWidth="1"/>
    <col min="13" max="13" width="3.28515625" style="3" customWidth="1"/>
    <col min="14" max="16" width="9.140625" customWidth="1"/>
    <col min="17" max="17" width="9.140625" style="3" customWidth="1"/>
    <col min="18" max="18" width="9.140625" style="3"/>
    <col min="19" max="22" width="9.140625" style="3" customWidth="1"/>
  </cols>
  <sheetData>
    <row r="1" spans="2:22" ht="8.1" customHeight="1" x14ac:dyDescent="0.25"/>
    <row r="2" spans="2:22" ht="18.75" x14ac:dyDescent="0.3">
      <c r="B2" s="30" t="s">
        <v>253</v>
      </c>
      <c r="C2" s="29"/>
      <c r="D2" s="29"/>
      <c r="E2" s="29"/>
      <c r="F2" s="49"/>
      <c r="G2" s="49"/>
      <c r="H2" s="49"/>
      <c r="I2" s="49"/>
      <c r="J2" s="49"/>
      <c r="K2" s="69"/>
    </row>
    <row r="4" spans="2:22" x14ac:dyDescent="0.25">
      <c r="B4" s="14" t="s">
        <v>220</v>
      </c>
    </row>
    <row r="5" spans="2:22" x14ac:dyDescent="0.25">
      <c r="B5" t="s">
        <v>200</v>
      </c>
    </row>
    <row r="6" spans="2:22" x14ac:dyDescent="0.25">
      <c r="B6" t="s">
        <v>231</v>
      </c>
    </row>
    <row r="7" spans="2:22" x14ac:dyDescent="0.25">
      <c r="B7" s="14" t="s">
        <v>229</v>
      </c>
    </row>
    <row r="8" spans="2:22" x14ac:dyDescent="0.25">
      <c r="B8" s="14" t="s">
        <v>322</v>
      </c>
      <c r="S8" s="92" t="s">
        <v>323</v>
      </c>
      <c r="T8" s="93"/>
      <c r="U8" s="93"/>
      <c r="V8" s="93"/>
    </row>
    <row r="9" spans="2:22" x14ac:dyDescent="0.25">
      <c r="B9" s="14" t="s">
        <v>245</v>
      </c>
    </row>
    <row r="10" spans="2:22" x14ac:dyDescent="0.25">
      <c r="B10" t="s">
        <v>233</v>
      </c>
    </row>
    <row r="11" spans="2:22" x14ac:dyDescent="0.25">
      <c r="B11" s="14" t="s">
        <v>246</v>
      </c>
    </row>
    <row r="14" spans="2:22" ht="18.75" customHeight="1" x14ac:dyDescent="0.25">
      <c r="B14" s="66" t="s">
        <v>252</v>
      </c>
      <c r="C14" s="9"/>
      <c r="D14" s="9"/>
      <c r="F14" s="49"/>
      <c r="G14" s="67" t="s">
        <v>147</v>
      </c>
      <c r="H14" s="49"/>
    </row>
    <row r="16" spans="2:22" ht="18" x14ac:dyDescent="0.35">
      <c r="C16" s="40" t="s">
        <v>99</v>
      </c>
      <c r="D16" s="2">
        <f>'Sand.panel_t-1,0'!H36</f>
        <v>1</v>
      </c>
      <c r="E16" t="s">
        <v>113</v>
      </c>
      <c r="H16" s="63"/>
      <c r="I16" s="50"/>
    </row>
    <row r="17" spans="3:22" x14ac:dyDescent="0.25">
      <c r="C17" s="82" t="s">
        <v>296</v>
      </c>
      <c r="D17" s="82"/>
      <c r="E17" s="83"/>
      <c r="F17" s="2">
        <v>6</v>
      </c>
      <c r="G17" t="s">
        <v>113</v>
      </c>
      <c r="I17" s="3" t="s">
        <v>213</v>
      </c>
      <c r="J17" s="63" t="s">
        <v>214</v>
      </c>
      <c r="K17" s="50" t="s">
        <v>239</v>
      </c>
      <c r="L17" s="79" t="s">
        <v>215</v>
      </c>
      <c r="M17"/>
    </row>
    <row r="18" spans="3:22" ht="17.25" x14ac:dyDescent="0.25">
      <c r="C18" s="82" t="s">
        <v>295</v>
      </c>
      <c r="D18" s="82"/>
      <c r="E18" s="82"/>
      <c r="F18" s="3">
        <f>PI()*F17^2/4</f>
        <v>28.274333882308138</v>
      </c>
      <c r="G18" t="s">
        <v>297</v>
      </c>
      <c r="J18" s="79" t="s">
        <v>298</v>
      </c>
      <c r="K18" s="50" t="s">
        <v>240</v>
      </c>
      <c r="M18"/>
    </row>
    <row r="19" spans="3:22" x14ac:dyDescent="0.25">
      <c r="H19" s="79"/>
      <c r="I19" s="50"/>
    </row>
    <row r="20" spans="3:22" ht="18" x14ac:dyDescent="0.35">
      <c r="D20" s="41" t="s">
        <v>101</v>
      </c>
      <c r="E20" s="2">
        <f>'Sand.panel_t-1,0'!H32</f>
        <v>3</v>
      </c>
      <c r="F20" t="s">
        <v>113</v>
      </c>
    </row>
    <row r="22" spans="3:22" ht="18" x14ac:dyDescent="0.35">
      <c r="D22" s="64" t="s">
        <v>153</v>
      </c>
      <c r="E22" s="65">
        <f>'Sand.panel_t-1,0'!J$22</f>
        <v>1226.7</v>
      </c>
      <c r="F22" s="3" t="s">
        <v>232</v>
      </c>
      <c r="G22" s="3" t="s">
        <v>222</v>
      </c>
      <c r="H22" s="3" t="s">
        <v>223</v>
      </c>
      <c r="I22" s="3" t="s">
        <v>224</v>
      </c>
      <c r="J22" s="3" t="s">
        <v>225</v>
      </c>
      <c r="K22" s="3" t="s">
        <v>226</v>
      </c>
      <c r="L22" s="3" t="s">
        <v>227</v>
      </c>
      <c r="N22" s="64" t="s">
        <v>153</v>
      </c>
      <c r="O22" s="65">
        <f>'Sand.panel_t-1,0'!J$22</f>
        <v>1226.7</v>
      </c>
      <c r="P22" s="3" t="s">
        <v>232</v>
      </c>
      <c r="Q22" s="3" t="s">
        <v>222</v>
      </c>
      <c r="R22" s="3" t="s">
        <v>223</v>
      </c>
      <c r="S22" s="3" t="s">
        <v>224</v>
      </c>
      <c r="T22" s="3" t="s">
        <v>225</v>
      </c>
      <c r="U22" s="3" t="s">
        <v>226</v>
      </c>
      <c r="V22" s="3" t="s">
        <v>227</v>
      </c>
    </row>
    <row r="23" spans="3:22" x14ac:dyDescent="0.25">
      <c r="D23" t="s">
        <v>228</v>
      </c>
      <c r="E23" s="3" t="s">
        <v>234</v>
      </c>
      <c r="F23" s="11">
        <v>3937</v>
      </c>
      <c r="G23" s="3">
        <v>3.91</v>
      </c>
      <c r="H23" s="3">
        <v>4.3600000000000003</v>
      </c>
      <c r="I23" s="3">
        <v>3.79</v>
      </c>
      <c r="J23" s="3">
        <v>0.12</v>
      </c>
      <c r="K23" s="3">
        <v>-0.84</v>
      </c>
      <c r="L23" s="3">
        <v>0.85</v>
      </c>
      <c r="N23" t="s">
        <v>228</v>
      </c>
      <c r="O23" s="3" t="s">
        <v>248</v>
      </c>
      <c r="P23" s="11">
        <v>4316</v>
      </c>
      <c r="Q23" s="3">
        <v>-3.98</v>
      </c>
      <c r="R23" s="3">
        <v>4.45</v>
      </c>
      <c r="S23" s="3">
        <v>-3.85</v>
      </c>
      <c r="T23" s="3">
        <v>0.09</v>
      </c>
      <c r="U23" s="3">
        <v>0.86</v>
      </c>
      <c r="V23" s="3">
        <v>0.91</v>
      </c>
    </row>
    <row r="24" spans="3:22" x14ac:dyDescent="0.25">
      <c r="D24" t="s">
        <v>221</v>
      </c>
      <c r="E24" s="11">
        <v>2038</v>
      </c>
      <c r="F24" s="11">
        <v>3938</v>
      </c>
      <c r="G24" s="3">
        <v>3.95</v>
      </c>
      <c r="H24" s="3">
        <v>-4.42</v>
      </c>
      <c r="I24" s="3">
        <v>-3.85</v>
      </c>
      <c r="J24" s="3">
        <v>-0.09</v>
      </c>
      <c r="K24" s="3">
        <v>-0.84</v>
      </c>
      <c r="L24" s="3">
        <v>0.87</v>
      </c>
      <c r="N24" t="s">
        <v>221</v>
      </c>
      <c r="O24" s="11">
        <v>2229</v>
      </c>
      <c r="P24" s="11">
        <v>4319</v>
      </c>
      <c r="Q24" s="3">
        <v>-4.37</v>
      </c>
      <c r="R24" s="3">
        <v>-4.88</v>
      </c>
      <c r="S24" s="3">
        <v>4.21</v>
      </c>
      <c r="T24" s="3">
        <v>-0.16</v>
      </c>
      <c r="U24" s="3">
        <v>0.87</v>
      </c>
      <c r="V24" s="3">
        <v>0.83</v>
      </c>
    </row>
    <row r="25" spans="3:22" x14ac:dyDescent="0.25">
      <c r="E25" s="3"/>
      <c r="F25" s="11">
        <v>3939</v>
      </c>
      <c r="G25" s="3">
        <v>4.07</v>
      </c>
      <c r="H25" s="3">
        <v>4.53</v>
      </c>
      <c r="I25" s="3">
        <v>-3.91</v>
      </c>
      <c r="J25" s="3">
        <v>-0.11</v>
      </c>
      <c r="K25" s="3">
        <v>0.82</v>
      </c>
      <c r="L25" s="3">
        <v>0.84</v>
      </c>
      <c r="O25" s="3"/>
      <c r="P25" s="11">
        <v>4502</v>
      </c>
      <c r="Q25" s="3">
        <v>-3.97</v>
      </c>
      <c r="R25" s="3">
        <v>4.4400000000000004</v>
      </c>
      <c r="S25" s="3">
        <v>3.86</v>
      </c>
      <c r="T25" s="3">
        <v>-0.09</v>
      </c>
      <c r="U25" s="3">
        <v>-0.86</v>
      </c>
      <c r="V25" s="3">
        <v>0.9</v>
      </c>
    </row>
    <row r="26" spans="3:22" x14ac:dyDescent="0.25">
      <c r="E26" s="3"/>
      <c r="F26" s="11">
        <v>3940</v>
      </c>
      <c r="G26" s="3">
        <v>3.92</v>
      </c>
      <c r="H26" s="3">
        <v>-4.38</v>
      </c>
      <c r="I26" s="3">
        <v>3.79</v>
      </c>
      <c r="J26" s="3">
        <v>0.09</v>
      </c>
      <c r="K26" s="3">
        <v>0.86</v>
      </c>
      <c r="L26" s="3">
        <v>0.91</v>
      </c>
      <c r="O26" s="3"/>
      <c r="P26" s="11">
        <v>4505</v>
      </c>
      <c r="Q26" s="3">
        <v>-4.34</v>
      </c>
      <c r="R26" s="3">
        <v>-4.84</v>
      </c>
      <c r="S26" s="3">
        <v>-4.21</v>
      </c>
      <c r="T26" s="3">
        <v>0.17</v>
      </c>
      <c r="U26" s="3">
        <v>-0.87</v>
      </c>
      <c r="V26" s="3">
        <v>0.83</v>
      </c>
    </row>
    <row r="27" spans="3:22" x14ac:dyDescent="0.25">
      <c r="E27" s="3"/>
      <c r="F27" s="81" t="s">
        <v>293</v>
      </c>
      <c r="G27" s="85">
        <f>G23+G24+G25+G26</f>
        <v>15.85</v>
      </c>
      <c r="H27" s="85">
        <f t="shared" ref="H27:L27" si="0">H23+H24+H25+H26</f>
        <v>9.0000000000000746E-2</v>
      </c>
      <c r="I27" s="85">
        <f t="shared" si="0"/>
        <v>-0.18000000000000016</v>
      </c>
      <c r="J27" s="85">
        <f t="shared" si="0"/>
        <v>9.999999999999995E-3</v>
      </c>
      <c r="K27" s="85">
        <f t="shared" si="0"/>
        <v>0</v>
      </c>
      <c r="L27" s="85">
        <f t="shared" si="0"/>
        <v>3.47</v>
      </c>
      <c r="O27" s="3"/>
      <c r="P27" s="81" t="s">
        <v>293</v>
      </c>
      <c r="Q27" s="85">
        <f>Q23+Q24+Q25+Q26</f>
        <v>-16.66</v>
      </c>
      <c r="R27" s="85">
        <f t="shared" ref="R27:V27" si="1">R23+R24+R25+R26</f>
        <v>-0.82999999999999918</v>
      </c>
      <c r="S27" s="85">
        <f t="shared" si="1"/>
        <v>9.9999999999997868E-3</v>
      </c>
      <c r="T27" s="85">
        <f t="shared" si="1"/>
        <v>1.0000000000000009E-2</v>
      </c>
      <c r="U27" s="85">
        <f t="shared" si="1"/>
        <v>0</v>
      </c>
      <c r="V27" s="85">
        <f t="shared" si="1"/>
        <v>3.47</v>
      </c>
    </row>
    <row r="28" spans="3:22" x14ac:dyDescent="0.25">
      <c r="E28" s="3"/>
      <c r="F28" s="81" t="s">
        <v>294</v>
      </c>
      <c r="G28" s="3">
        <f>(G27^2+I27^2)^0.5/$F$18</f>
        <v>0.56061522492613225</v>
      </c>
      <c r="O28" s="3"/>
      <c r="P28" s="81" t="s">
        <v>294</v>
      </c>
      <c r="Q28" s="3">
        <f>(Q27^2+S27^2)^0.5/$F$18</f>
        <v>0.58922707323707224</v>
      </c>
    </row>
    <row r="29" spans="3:22" x14ac:dyDescent="0.25">
      <c r="E29" s="3"/>
      <c r="F29" s="81" t="s">
        <v>299</v>
      </c>
      <c r="G29" s="3">
        <f>H27/$F$18</f>
        <v>3.1830988618379331E-3</v>
      </c>
      <c r="O29" s="3"/>
      <c r="P29" s="81" t="s">
        <v>299</v>
      </c>
      <c r="Q29" s="3">
        <f>R27/$F$18</f>
        <v>-2.9355245059171777E-2</v>
      </c>
    </row>
    <row r="30" spans="3:22" x14ac:dyDescent="0.25">
      <c r="D30" t="s">
        <v>228</v>
      </c>
      <c r="E30" s="3" t="s">
        <v>236</v>
      </c>
      <c r="F30" s="11">
        <v>3917</v>
      </c>
      <c r="G30" s="3">
        <v>2.5099999999999998</v>
      </c>
      <c r="H30" s="3">
        <v>2.79</v>
      </c>
      <c r="I30" s="3">
        <v>2.42</v>
      </c>
      <c r="J30" s="3">
        <v>0.13</v>
      </c>
      <c r="K30" s="3">
        <v>-0.6</v>
      </c>
      <c r="L30" s="3">
        <v>0.56999999999999995</v>
      </c>
      <c r="N30" t="s">
        <v>228</v>
      </c>
      <c r="O30" s="3" t="s">
        <v>249</v>
      </c>
      <c r="P30" s="11">
        <v>4296</v>
      </c>
      <c r="Q30" s="3">
        <v>-2.71</v>
      </c>
      <c r="R30" s="3">
        <v>3.03</v>
      </c>
      <c r="S30" s="3">
        <v>-2.61</v>
      </c>
      <c r="T30" s="3">
        <v>7.0000000000000007E-2</v>
      </c>
      <c r="U30" s="3">
        <v>0.59</v>
      </c>
      <c r="V30" s="3">
        <v>0.63</v>
      </c>
    </row>
    <row r="31" spans="3:22" x14ac:dyDescent="0.25">
      <c r="D31" t="s">
        <v>221</v>
      </c>
      <c r="E31" s="11">
        <v>2028</v>
      </c>
      <c r="F31" s="11">
        <v>3918</v>
      </c>
      <c r="G31" s="3">
        <v>2.91</v>
      </c>
      <c r="H31" s="3">
        <v>-3.27</v>
      </c>
      <c r="I31" s="3">
        <v>-2.85</v>
      </c>
      <c r="J31" s="3">
        <v>-0.04</v>
      </c>
      <c r="K31" s="3">
        <v>-0.53</v>
      </c>
      <c r="L31" s="3">
        <v>0.55000000000000004</v>
      </c>
      <c r="N31" t="s">
        <v>221</v>
      </c>
      <c r="O31" s="11">
        <v>2219</v>
      </c>
      <c r="P31" s="11">
        <v>4299</v>
      </c>
      <c r="Q31" s="3">
        <v>-3.08</v>
      </c>
      <c r="R31" s="3">
        <v>-3.44</v>
      </c>
      <c r="S31" s="3">
        <v>2.97</v>
      </c>
      <c r="T31" s="3">
        <v>-0.12</v>
      </c>
      <c r="U31" s="3">
        <v>0.59</v>
      </c>
      <c r="V31" s="3">
        <v>0.55000000000000004</v>
      </c>
    </row>
    <row r="32" spans="3:22" x14ac:dyDescent="0.25">
      <c r="E32" s="3"/>
      <c r="F32" s="11">
        <v>3919</v>
      </c>
      <c r="G32" s="3">
        <v>2.97</v>
      </c>
      <c r="H32" s="3">
        <v>3.33</v>
      </c>
      <c r="I32" s="3">
        <v>-2.87</v>
      </c>
      <c r="J32" s="3">
        <v>-0.05</v>
      </c>
      <c r="K32" s="3">
        <v>0.51</v>
      </c>
      <c r="L32" s="3">
        <v>0.54</v>
      </c>
      <c r="O32" s="3"/>
      <c r="P32" s="11">
        <v>4482</v>
      </c>
      <c r="Q32" s="3">
        <v>-2.76</v>
      </c>
      <c r="R32" s="3">
        <v>3.09</v>
      </c>
      <c r="S32" s="3">
        <v>2.69</v>
      </c>
      <c r="T32" s="3">
        <v>-0.06</v>
      </c>
      <c r="U32" s="3">
        <v>-0.57999999999999996</v>
      </c>
      <c r="V32" s="3">
        <v>0.62</v>
      </c>
    </row>
    <row r="33" spans="4:22" x14ac:dyDescent="0.25">
      <c r="E33" s="3"/>
      <c r="F33" s="11">
        <v>3920</v>
      </c>
      <c r="G33" s="3">
        <v>2.54</v>
      </c>
      <c r="H33" s="3">
        <v>-2.84</v>
      </c>
      <c r="I33" s="3">
        <v>2.44</v>
      </c>
      <c r="J33" s="3">
        <v>0.14000000000000001</v>
      </c>
      <c r="K33" s="3">
        <v>0.61</v>
      </c>
      <c r="L33" s="3">
        <v>0.63</v>
      </c>
      <c r="O33" s="3"/>
      <c r="P33" s="11">
        <v>4485</v>
      </c>
      <c r="Q33" s="3">
        <v>-3</v>
      </c>
      <c r="R33" s="3">
        <v>-3.35</v>
      </c>
      <c r="S33" s="3">
        <v>-2.91</v>
      </c>
      <c r="T33" s="3">
        <v>0.13</v>
      </c>
      <c r="U33" s="3">
        <v>-0.61</v>
      </c>
      <c r="V33" s="3">
        <v>0.55000000000000004</v>
      </c>
    </row>
    <row r="34" spans="4:22" x14ac:dyDescent="0.25">
      <c r="E34" s="3"/>
      <c r="F34" s="81" t="s">
        <v>293</v>
      </c>
      <c r="G34" s="85">
        <f>G30+G31+G32+G33</f>
        <v>10.93</v>
      </c>
      <c r="H34" s="85">
        <f t="shared" ref="H34:L34" si="2">H30+H31+H32+H33</f>
        <v>1.0000000000000231E-2</v>
      </c>
      <c r="I34" s="85">
        <f t="shared" si="2"/>
        <v>-0.86000000000000032</v>
      </c>
      <c r="J34" s="85">
        <f t="shared" si="2"/>
        <v>0.18</v>
      </c>
      <c r="K34" s="85">
        <f t="shared" si="2"/>
        <v>-9.9999999999998979E-3</v>
      </c>
      <c r="L34" s="85">
        <f t="shared" si="2"/>
        <v>2.29</v>
      </c>
      <c r="O34" s="3"/>
      <c r="P34" s="81" t="s">
        <v>293</v>
      </c>
      <c r="Q34" s="85">
        <f>Q30+Q31+Q32+Q33</f>
        <v>-11.55</v>
      </c>
      <c r="R34" s="85">
        <f t="shared" ref="R34:V34" si="3">R30+R31+R32+R33</f>
        <v>-0.67000000000000037</v>
      </c>
      <c r="S34" s="85">
        <f t="shared" si="3"/>
        <v>0.14000000000000012</v>
      </c>
      <c r="T34" s="85">
        <f t="shared" si="3"/>
        <v>2.0000000000000018E-2</v>
      </c>
      <c r="U34" s="85">
        <f t="shared" si="3"/>
        <v>-1.0000000000000009E-2</v>
      </c>
      <c r="V34" s="85">
        <f t="shared" si="3"/>
        <v>2.3500000000000005</v>
      </c>
    </row>
    <row r="35" spans="4:22" x14ac:dyDescent="0.25">
      <c r="E35" s="3"/>
      <c r="F35" s="81" t="s">
        <v>294</v>
      </c>
      <c r="G35" s="3">
        <f>(G34^2+I34^2)^0.5/$F$18</f>
        <v>0.3877644413360184</v>
      </c>
      <c r="O35" s="3"/>
      <c r="P35" s="81" t="s">
        <v>294</v>
      </c>
      <c r="Q35" s="3">
        <f>(Q34^2+S34^2)^0.5/$F$18</f>
        <v>0.40852769517985849</v>
      </c>
    </row>
    <row r="36" spans="4:22" x14ac:dyDescent="0.25">
      <c r="E36" s="3"/>
      <c r="F36" s="81" t="s">
        <v>299</v>
      </c>
      <c r="G36" s="3">
        <f>H34/$F$18</f>
        <v>3.5367765131533114E-4</v>
      </c>
      <c r="O36" s="3"/>
      <c r="P36" s="81" t="s">
        <v>299</v>
      </c>
      <c r="Q36" s="3">
        <f>R34/$F$18</f>
        <v>-2.3696402638126654E-2</v>
      </c>
    </row>
    <row r="37" spans="4:22" x14ac:dyDescent="0.25">
      <c r="D37" t="s">
        <v>228</v>
      </c>
      <c r="E37" s="3" t="s">
        <v>237</v>
      </c>
      <c r="F37" s="11">
        <v>3893</v>
      </c>
      <c r="G37" s="3">
        <v>1.2</v>
      </c>
      <c r="H37" s="3">
        <v>1.32</v>
      </c>
      <c r="I37" s="3">
        <v>1.1399999999999999</v>
      </c>
      <c r="J37" s="3">
        <v>0.11</v>
      </c>
      <c r="K37" s="3">
        <v>-0.39</v>
      </c>
      <c r="L37" s="3">
        <v>0.33</v>
      </c>
      <c r="N37" t="s">
        <v>228</v>
      </c>
      <c r="O37" s="3" t="s">
        <v>250</v>
      </c>
      <c r="P37" s="11">
        <v>4272</v>
      </c>
      <c r="Q37" s="3">
        <v>-1.46</v>
      </c>
      <c r="R37" s="3">
        <v>1.64</v>
      </c>
      <c r="S37" s="3">
        <v>-1.41</v>
      </c>
      <c r="T37" s="3">
        <v>0.03</v>
      </c>
      <c r="U37" s="3">
        <v>0.35</v>
      </c>
      <c r="V37" s="3">
        <v>0.38</v>
      </c>
    </row>
    <row r="38" spans="4:22" x14ac:dyDescent="0.25">
      <c r="D38" t="s">
        <v>221</v>
      </c>
      <c r="E38" s="11">
        <v>2016</v>
      </c>
      <c r="F38" s="11">
        <v>3894</v>
      </c>
      <c r="G38" s="3">
        <v>1.88</v>
      </c>
      <c r="H38" s="3">
        <v>-2.12</v>
      </c>
      <c r="I38" s="3">
        <v>-1.85</v>
      </c>
      <c r="J38" s="3">
        <v>0.01</v>
      </c>
      <c r="K38" s="3">
        <v>-0.25</v>
      </c>
      <c r="L38" s="3">
        <v>0.28999999999999998</v>
      </c>
      <c r="N38" t="s">
        <v>221</v>
      </c>
      <c r="O38" s="11">
        <v>2207</v>
      </c>
      <c r="P38" s="11">
        <v>4275</v>
      </c>
      <c r="Q38" s="3">
        <v>-1.88</v>
      </c>
      <c r="R38" s="3">
        <v>-2.1</v>
      </c>
      <c r="S38" s="3">
        <v>1.81</v>
      </c>
      <c r="T38" s="3">
        <v>-0.08</v>
      </c>
      <c r="U38" s="3">
        <v>0.33</v>
      </c>
      <c r="V38" s="3">
        <v>0.28999999999999998</v>
      </c>
    </row>
    <row r="39" spans="4:22" x14ac:dyDescent="0.25">
      <c r="E39" s="3"/>
      <c r="F39" s="11">
        <v>3895</v>
      </c>
      <c r="G39" s="3">
        <v>1.92</v>
      </c>
      <c r="H39" s="3">
        <v>2.15</v>
      </c>
      <c r="I39" s="3">
        <v>-1.86</v>
      </c>
      <c r="J39" s="3">
        <v>0.02</v>
      </c>
      <c r="K39" s="3">
        <v>0.24</v>
      </c>
      <c r="L39" s="3">
        <v>0.3</v>
      </c>
      <c r="O39" s="3"/>
      <c r="P39" s="11">
        <v>4458</v>
      </c>
      <c r="Q39" s="3">
        <v>-1.57</v>
      </c>
      <c r="R39" s="3">
        <v>1.76</v>
      </c>
      <c r="S39" s="3">
        <v>1.53</v>
      </c>
      <c r="T39" s="3">
        <v>-0.01</v>
      </c>
      <c r="U39" s="3">
        <v>-0.33</v>
      </c>
      <c r="V39" s="3">
        <v>0.37</v>
      </c>
    </row>
    <row r="40" spans="4:22" x14ac:dyDescent="0.25">
      <c r="E40" s="3"/>
      <c r="F40" s="11">
        <v>3896</v>
      </c>
      <c r="G40" s="3">
        <v>1.21</v>
      </c>
      <c r="H40" s="3">
        <v>-1.35</v>
      </c>
      <c r="I40" s="3">
        <v>1.1499999999999999</v>
      </c>
      <c r="J40" s="3">
        <v>0.14000000000000001</v>
      </c>
      <c r="K40" s="3">
        <v>0.39</v>
      </c>
      <c r="L40" s="3">
        <v>0.31</v>
      </c>
      <c r="O40" s="3"/>
      <c r="P40" s="11">
        <v>4461</v>
      </c>
      <c r="Q40" s="3">
        <v>-1.76</v>
      </c>
      <c r="R40" s="3">
        <v>-1.96</v>
      </c>
      <c r="S40" s="3">
        <v>-1.7</v>
      </c>
      <c r="T40" s="3">
        <v>0.11</v>
      </c>
      <c r="U40" s="3">
        <v>-0.35</v>
      </c>
      <c r="V40" s="3">
        <v>0.28999999999999998</v>
      </c>
    </row>
    <row r="41" spans="4:22" x14ac:dyDescent="0.25">
      <c r="E41" s="3"/>
      <c r="F41" s="81" t="s">
        <v>293</v>
      </c>
      <c r="G41" s="85">
        <f>G37+G38+G39+G40</f>
        <v>6.21</v>
      </c>
      <c r="H41" s="85">
        <f t="shared" ref="H41:L41" si="4">H37+H38+H39+H40</f>
        <v>0</v>
      </c>
      <c r="I41" s="85">
        <f t="shared" si="4"/>
        <v>-1.4200000000000004</v>
      </c>
      <c r="J41" s="85">
        <f t="shared" si="4"/>
        <v>0.28000000000000003</v>
      </c>
      <c r="K41" s="85">
        <f t="shared" si="4"/>
        <v>-1.0000000000000009E-2</v>
      </c>
      <c r="L41" s="85">
        <f t="shared" si="4"/>
        <v>1.23</v>
      </c>
      <c r="O41" s="3"/>
      <c r="P41" s="81" t="s">
        <v>293</v>
      </c>
      <c r="Q41" s="85">
        <f>Q37+Q38+Q39+Q40</f>
        <v>-6.67</v>
      </c>
      <c r="R41" s="85">
        <f t="shared" ref="R41:V41" si="5">R37+R38+R39+R40</f>
        <v>-0.66000000000000014</v>
      </c>
      <c r="S41" s="85">
        <f t="shared" si="5"/>
        <v>0.2300000000000002</v>
      </c>
      <c r="T41" s="85">
        <f t="shared" si="5"/>
        <v>4.9999999999999996E-2</v>
      </c>
      <c r="U41" s="85">
        <f t="shared" si="5"/>
        <v>0</v>
      </c>
      <c r="V41" s="85">
        <f t="shared" si="5"/>
        <v>1.33</v>
      </c>
    </row>
    <row r="42" spans="4:22" x14ac:dyDescent="0.25">
      <c r="E42" s="3"/>
      <c r="F42" s="81" t="s">
        <v>294</v>
      </c>
      <c r="G42" s="3">
        <f>(G41^2+I41^2)^0.5/$F$18</f>
        <v>0.22530265769716526</v>
      </c>
      <c r="O42" s="3"/>
      <c r="P42" s="81" t="s">
        <v>294</v>
      </c>
      <c r="Q42" s="3">
        <f>(Q41^2+S41^2)^0.5/$F$18</f>
        <v>0.23604320324262781</v>
      </c>
    </row>
    <row r="43" spans="4:22" x14ac:dyDescent="0.25">
      <c r="E43" s="3"/>
      <c r="F43" s="81" t="s">
        <v>299</v>
      </c>
      <c r="G43" s="3">
        <f>H41/$F$18</f>
        <v>0</v>
      </c>
      <c r="O43" s="3"/>
      <c r="P43" s="81" t="s">
        <v>299</v>
      </c>
      <c r="Q43" s="3">
        <f>R41/$F$18</f>
        <v>-2.3342724986811322E-2</v>
      </c>
    </row>
    <row r="44" spans="4:22" x14ac:dyDescent="0.25">
      <c r="D44" t="s">
        <v>228</v>
      </c>
      <c r="E44" s="3" t="s">
        <v>238</v>
      </c>
      <c r="F44" s="11">
        <v>3865</v>
      </c>
      <c r="G44" s="3">
        <v>0.01</v>
      </c>
      <c r="H44" s="3">
        <v>0</v>
      </c>
      <c r="I44" s="3">
        <v>-0.02</v>
      </c>
      <c r="J44" s="3">
        <v>0.09</v>
      </c>
      <c r="K44" s="3">
        <v>-0.18</v>
      </c>
      <c r="L44" s="3">
        <v>0.11</v>
      </c>
      <c r="N44" t="s">
        <v>228</v>
      </c>
      <c r="O44" s="3" t="s">
        <v>251</v>
      </c>
      <c r="P44" s="11">
        <v>4248</v>
      </c>
      <c r="Q44" s="3">
        <v>-0.46</v>
      </c>
      <c r="R44" s="3">
        <v>0.51</v>
      </c>
      <c r="S44" s="3">
        <v>-0.44</v>
      </c>
      <c r="T44" s="3">
        <v>-0.01</v>
      </c>
      <c r="U44" s="3">
        <v>0.15</v>
      </c>
      <c r="V44" s="3">
        <v>0.18</v>
      </c>
    </row>
    <row r="45" spans="4:22" x14ac:dyDescent="0.25">
      <c r="D45" t="s">
        <v>221</v>
      </c>
      <c r="E45" s="11">
        <v>2002</v>
      </c>
      <c r="F45" s="11">
        <v>3866</v>
      </c>
      <c r="G45" s="3">
        <v>0.86</v>
      </c>
      <c r="H45" s="3">
        <v>-0.98</v>
      </c>
      <c r="I45" s="3">
        <v>-0.86</v>
      </c>
      <c r="J45" s="3">
        <v>0.06</v>
      </c>
      <c r="K45" s="3">
        <v>0</v>
      </c>
      <c r="L45" s="3">
        <v>0.06</v>
      </c>
      <c r="N45" t="s">
        <v>221</v>
      </c>
      <c r="O45" s="11">
        <v>2195</v>
      </c>
      <c r="P45" s="11">
        <v>4251</v>
      </c>
      <c r="Q45" s="3">
        <v>-0.89</v>
      </c>
      <c r="R45" s="3">
        <v>-1</v>
      </c>
      <c r="S45" s="3">
        <v>0.88</v>
      </c>
      <c r="T45" s="3">
        <v>-0.05</v>
      </c>
      <c r="U45" s="3">
        <v>0.12</v>
      </c>
      <c r="V45" s="3">
        <v>0.09</v>
      </c>
    </row>
    <row r="46" spans="4:22" x14ac:dyDescent="0.25">
      <c r="E46" s="3"/>
      <c r="F46" s="11">
        <v>3867</v>
      </c>
      <c r="G46" s="3">
        <v>0.87</v>
      </c>
      <c r="H46" s="3">
        <v>0.99</v>
      </c>
      <c r="I46" s="3">
        <v>-0.86</v>
      </c>
      <c r="J46" s="3">
        <v>0.08</v>
      </c>
      <c r="K46" s="3">
        <v>0</v>
      </c>
      <c r="L46" s="3">
        <v>0.08</v>
      </c>
      <c r="O46" s="3"/>
      <c r="P46" s="11">
        <v>4434</v>
      </c>
      <c r="Q46" s="3">
        <v>-0.59</v>
      </c>
      <c r="R46" s="3">
        <v>0.66</v>
      </c>
      <c r="S46" s="3">
        <v>0.57999999999999996</v>
      </c>
      <c r="T46" s="3">
        <v>0.03</v>
      </c>
      <c r="U46" s="3">
        <v>-0.12</v>
      </c>
      <c r="V46" s="3">
        <v>0.18</v>
      </c>
    </row>
    <row r="47" spans="4:22" x14ac:dyDescent="0.25">
      <c r="E47" s="3"/>
      <c r="F47" s="11">
        <v>3868</v>
      </c>
      <c r="G47" s="3">
        <v>0.02</v>
      </c>
      <c r="H47" s="3">
        <v>0</v>
      </c>
      <c r="I47" s="3">
        <v>-0.01</v>
      </c>
      <c r="J47" s="3">
        <v>0.12</v>
      </c>
      <c r="K47" s="3">
        <v>0.18</v>
      </c>
      <c r="L47" s="3">
        <v>0.09</v>
      </c>
      <c r="O47" s="3"/>
      <c r="P47" s="11">
        <v>4437</v>
      </c>
      <c r="Q47" s="3">
        <v>-0.75</v>
      </c>
      <c r="R47" s="3">
        <v>-0.84</v>
      </c>
      <c r="S47" s="3">
        <v>-0.73</v>
      </c>
      <c r="T47" s="3">
        <v>0.08</v>
      </c>
      <c r="U47" s="3">
        <v>-0.15</v>
      </c>
      <c r="V47" s="3">
        <v>0.09</v>
      </c>
    </row>
    <row r="48" spans="4:22" x14ac:dyDescent="0.25">
      <c r="E48" s="3"/>
      <c r="F48" s="81" t="s">
        <v>293</v>
      </c>
      <c r="G48" s="85">
        <f>G44+G45+G46+G47</f>
        <v>1.76</v>
      </c>
      <c r="H48" s="85">
        <f t="shared" ref="H48:L48" si="6">H44+H45+H46+H47</f>
        <v>1.0000000000000009E-2</v>
      </c>
      <c r="I48" s="85">
        <f t="shared" si="6"/>
        <v>-1.75</v>
      </c>
      <c r="J48" s="85">
        <f t="shared" si="6"/>
        <v>0.35</v>
      </c>
      <c r="K48" s="85">
        <f t="shared" si="6"/>
        <v>0</v>
      </c>
      <c r="L48" s="85">
        <f t="shared" si="6"/>
        <v>0.33999999999999997</v>
      </c>
      <c r="O48" s="3"/>
      <c r="P48" s="81" t="s">
        <v>293</v>
      </c>
      <c r="Q48" s="85">
        <f>Q44+Q45+Q46+Q47</f>
        <v>-2.69</v>
      </c>
      <c r="R48" s="85">
        <f t="shared" ref="R48:V48" si="7">R44+R45+R46+R47</f>
        <v>-0.66999999999999993</v>
      </c>
      <c r="S48" s="85">
        <f t="shared" si="7"/>
        <v>0.29000000000000004</v>
      </c>
      <c r="T48" s="85">
        <f t="shared" si="7"/>
        <v>4.9999999999999996E-2</v>
      </c>
      <c r="U48" s="85">
        <f t="shared" si="7"/>
        <v>0</v>
      </c>
      <c r="V48" s="85">
        <f t="shared" si="7"/>
        <v>0.54</v>
      </c>
    </row>
    <row r="49" spans="4:22" x14ac:dyDescent="0.25">
      <c r="E49" s="3"/>
      <c r="F49" s="81" t="s">
        <v>294</v>
      </c>
      <c r="G49" s="3">
        <f>(G48^2+I48^2)^0.5/$F$18</f>
        <v>8.7781197075115738E-2</v>
      </c>
      <c r="O49" s="3"/>
      <c r="P49" s="81" t="s">
        <v>294</v>
      </c>
      <c r="Q49" s="3">
        <f>(Q48^2+S48^2)^0.5/$F$18</f>
        <v>9.5690558927641639E-2</v>
      </c>
    </row>
    <row r="50" spans="4:22" x14ac:dyDescent="0.25">
      <c r="E50" s="3"/>
      <c r="F50" s="81" t="s">
        <v>299</v>
      </c>
      <c r="G50" s="3">
        <f>H48/$F$18</f>
        <v>3.5367765131532328E-4</v>
      </c>
      <c r="O50" s="3"/>
      <c r="P50" s="81" t="s">
        <v>299</v>
      </c>
      <c r="Q50" s="3">
        <f>R48/$F$18</f>
        <v>-2.3696402638126637E-2</v>
      </c>
    </row>
    <row r="53" spans="4:22" ht="18" x14ac:dyDescent="0.35">
      <c r="D53" s="41" t="s">
        <v>151</v>
      </c>
      <c r="E53" s="2">
        <f>'Sand.panel_t-1,0'!H35</f>
        <v>5</v>
      </c>
      <c r="F53" t="s">
        <v>113</v>
      </c>
    </row>
    <row r="54" spans="4:22" ht="18" x14ac:dyDescent="0.35">
      <c r="D54" s="64" t="s">
        <v>153</v>
      </c>
      <c r="E54" s="65">
        <f>'Sand.panel_t-1,0'!J$22</f>
        <v>1226.7</v>
      </c>
      <c r="F54" s="3" t="s">
        <v>232</v>
      </c>
      <c r="G54" s="3" t="s">
        <v>222</v>
      </c>
      <c r="H54" s="3" t="s">
        <v>223</v>
      </c>
      <c r="I54" s="3" t="s">
        <v>224</v>
      </c>
      <c r="J54" s="3" t="s">
        <v>225</v>
      </c>
      <c r="K54" s="3" t="s">
        <v>226</v>
      </c>
      <c r="L54" s="3" t="s">
        <v>227</v>
      </c>
      <c r="N54" s="64" t="s">
        <v>153</v>
      </c>
      <c r="O54" s="65">
        <f>'Sand.panel_t-1,0'!J$22</f>
        <v>1226.7</v>
      </c>
      <c r="P54" s="3" t="s">
        <v>232</v>
      </c>
      <c r="Q54" s="3" t="s">
        <v>222</v>
      </c>
      <c r="R54" s="3" t="s">
        <v>223</v>
      </c>
      <c r="S54" s="3" t="s">
        <v>224</v>
      </c>
      <c r="T54" s="3" t="s">
        <v>225</v>
      </c>
      <c r="U54" s="3" t="s">
        <v>226</v>
      </c>
      <c r="V54" s="3" t="s">
        <v>227</v>
      </c>
    </row>
    <row r="55" spans="4:22" x14ac:dyDescent="0.25">
      <c r="D55" t="s">
        <v>228</v>
      </c>
      <c r="E55" s="3" t="s">
        <v>234</v>
      </c>
      <c r="F55" s="11">
        <v>3937</v>
      </c>
      <c r="G55" s="3">
        <v>3.93</v>
      </c>
      <c r="H55" s="3">
        <v>4.38</v>
      </c>
      <c r="I55" s="3">
        <v>3.7</v>
      </c>
      <c r="J55" s="3">
        <v>0.8</v>
      </c>
      <c r="K55" s="3">
        <v>-1.5</v>
      </c>
      <c r="L55" s="3">
        <v>0.94</v>
      </c>
      <c r="N55" t="s">
        <v>228</v>
      </c>
      <c r="O55" s="3" t="s">
        <v>248</v>
      </c>
      <c r="P55" s="11">
        <v>4316</v>
      </c>
      <c r="Q55" s="3">
        <v>-4.01</v>
      </c>
      <c r="R55" s="3">
        <v>4.4800000000000004</v>
      </c>
      <c r="S55" s="3">
        <v>-3.77</v>
      </c>
      <c r="T55" s="3">
        <v>0.79</v>
      </c>
      <c r="U55" s="3">
        <v>1.57</v>
      </c>
      <c r="V55" s="3">
        <v>1.07</v>
      </c>
    </row>
    <row r="56" spans="4:22" x14ac:dyDescent="0.25">
      <c r="D56" t="s">
        <v>221</v>
      </c>
      <c r="E56" s="11">
        <v>2038</v>
      </c>
      <c r="F56" s="11">
        <v>3938</v>
      </c>
      <c r="G56" s="3">
        <v>3.94</v>
      </c>
      <c r="H56" s="3">
        <v>-4.4000000000000004</v>
      </c>
      <c r="I56" s="3">
        <v>-3.74</v>
      </c>
      <c r="J56" s="3">
        <v>-0.82</v>
      </c>
      <c r="K56" s="3">
        <v>-1.54</v>
      </c>
      <c r="L56" s="3">
        <v>0.91</v>
      </c>
      <c r="N56" t="s">
        <v>221</v>
      </c>
      <c r="O56" s="11">
        <v>2229</v>
      </c>
      <c r="P56" s="11">
        <v>4319</v>
      </c>
      <c r="Q56" s="3">
        <v>-4.33</v>
      </c>
      <c r="R56" s="3">
        <v>-4.84</v>
      </c>
      <c r="S56" s="3">
        <v>4.0599999999999996</v>
      </c>
      <c r="T56" s="3">
        <v>-1.03</v>
      </c>
      <c r="U56" s="3">
        <v>1.55</v>
      </c>
      <c r="V56" s="3">
        <v>0.79</v>
      </c>
    </row>
    <row r="57" spans="4:22" x14ac:dyDescent="0.25">
      <c r="E57" s="3"/>
      <c r="F57" s="11">
        <v>3939</v>
      </c>
      <c r="G57" s="3">
        <v>4.05</v>
      </c>
      <c r="H57" s="3">
        <v>4.51</v>
      </c>
      <c r="I57" s="3">
        <v>-3.79</v>
      </c>
      <c r="J57" s="3">
        <v>-0.88</v>
      </c>
      <c r="K57" s="3">
        <v>1.48</v>
      </c>
      <c r="L57" s="3">
        <v>0.84</v>
      </c>
      <c r="O57" s="3"/>
      <c r="P57" s="11">
        <v>4502</v>
      </c>
      <c r="Q57" s="3">
        <v>-3.99</v>
      </c>
      <c r="R57" s="3">
        <v>4.45</v>
      </c>
      <c r="S57" s="3">
        <v>3.78</v>
      </c>
      <c r="T57" s="3">
        <v>-0.8</v>
      </c>
      <c r="U57" s="3">
        <v>-1.57</v>
      </c>
      <c r="V57" s="3">
        <v>1.04</v>
      </c>
    </row>
    <row r="58" spans="4:22" x14ac:dyDescent="0.25">
      <c r="E58" s="3"/>
      <c r="F58" s="11">
        <v>3940</v>
      </c>
      <c r="G58" s="3">
        <v>3.96</v>
      </c>
      <c r="H58" s="3">
        <v>-4.42</v>
      </c>
      <c r="I58" s="3">
        <v>3.72</v>
      </c>
      <c r="J58" s="3">
        <v>0.92</v>
      </c>
      <c r="K58" s="3">
        <v>1.55</v>
      </c>
      <c r="L58" s="3">
        <v>0.83</v>
      </c>
      <c r="O58" s="3"/>
      <c r="P58" s="11">
        <v>4505</v>
      </c>
      <c r="Q58" s="3">
        <v>-4.3099999999999996</v>
      </c>
      <c r="R58" s="3">
        <v>-4.82</v>
      </c>
      <c r="S58" s="3">
        <v>-4.07</v>
      </c>
      <c r="T58" s="3">
        <v>1.05</v>
      </c>
      <c r="U58" s="3">
        <v>-1.55</v>
      </c>
      <c r="V58" s="3">
        <v>0.77</v>
      </c>
    </row>
    <row r="59" spans="4:22" x14ac:dyDescent="0.25">
      <c r="E59" s="3"/>
      <c r="F59" s="81" t="s">
        <v>293</v>
      </c>
      <c r="G59" s="85">
        <f>G55+G56+G57+G58</f>
        <v>15.879999999999999</v>
      </c>
      <c r="H59" s="85">
        <f t="shared" ref="H59:L59" si="8">H55+H56+H57+H58</f>
        <v>6.9999999999999396E-2</v>
      </c>
      <c r="I59" s="85">
        <f t="shared" si="8"/>
        <v>-0.10999999999999988</v>
      </c>
      <c r="J59" s="85">
        <f t="shared" si="8"/>
        <v>2.0000000000000129E-2</v>
      </c>
      <c r="K59" s="85">
        <f t="shared" si="8"/>
        <v>-1.0000000000000009E-2</v>
      </c>
      <c r="L59" s="85">
        <f t="shared" si="8"/>
        <v>3.52</v>
      </c>
      <c r="O59" s="3"/>
      <c r="P59" s="81" t="s">
        <v>293</v>
      </c>
      <c r="Q59" s="85">
        <f>Q55+Q56+Q57+Q58</f>
        <v>-16.64</v>
      </c>
      <c r="R59" s="85">
        <f t="shared" ref="R59:V59" si="9">R55+R56+R57+R58</f>
        <v>-0.72999999999999954</v>
      </c>
      <c r="S59" s="85">
        <f t="shared" si="9"/>
        <v>0</v>
      </c>
      <c r="T59" s="85">
        <f t="shared" si="9"/>
        <v>1.0000000000000009E-2</v>
      </c>
      <c r="U59" s="85">
        <f t="shared" si="9"/>
        <v>0</v>
      </c>
      <c r="V59" s="85">
        <f t="shared" si="9"/>
        <v>3.6700000000000004</v>
      </c>
    </row>
    <row r="60" spans="4:22" x14ac:dyDescent="0.25">
      <c r="E60" s="3"/>
      <c r="F60" s="81" t="s">
        <v>294</v>
      </c>
      <c r="G60" s="3">
        <f>(G59^2+I59^2)^0.5/$F$18</f>
        <v>0.56165358462200332</v>
      </c>
      <c r="O60" s="3"/>
      <c r="P60" s="81" t="s">
        <v>294</v>
      </c>
      <c r="Q60" s="3">
        <f>(Q59^2+S59^2)^0.5/$F$18</f>
        <v>0.58851961178869749</v>
      </c>
    </row>
    <row r="61" spans="4:22" x14ac:dyDescent="0.25">
      <c r="E61" s="3"/>
      <c r="F61" s="81" t="s">
        <v>299</v>
      </c>
      <c r="G61" s="3">
        <f>H59/$F$18</f>
        <v>2.4757435592072394E-3</v>
      </c>
      <c r="O61" s="3"/>
      <c r="P61" s="81" t="s">
        <v>299</v>
      </c>
      <c r="Q61" s="3">
        <f>R59/$F$18</f>
        <v>-2.5818468546018561E-2</v>
      </c>
    </row>
    <row r="62" spans="4:22" x14ac:dyDescent="0.25">
      <c r="D62" t="s">
        <v>228</v>
      </c>
      <c r="E62" s="3" t="s">
        <v>236</v>
      </c>
      <c r="F62" s="11">
        <v>3917</v>
      </c>
      <c r="G62" s="3">
        <v>2.5</v>
      </c>
      <c r="H62" s="3">
        <v>2.79</v>
      </c>
      <c r="I62" s="3">
        <v>2.34</v>
      </c>
      <c r="J62" s="3">
        <v>0.54</v>
      </c>
      <c r="K62" s="3">
        <v>-1.06</v>
      </c>
      <c r="L62" s="3">
        <v>0.71</v>
      </c>
      <c r="N62" t="s">
        <v>228</v>
      </c>
      <c r="O62" s="3" t="s">
        <v>249</v>
      </c>
      <c r="P62" s="11">
        <v>4296</v>
      </c>
      <c r="Q62" s="3">
        <v>-2.7</v>
      </c>
      <c r="R62" s="3">
        <v>3.03</v>
      </c>
      <c r="S62" s="3">
        <v>-2.54</v>
      </c>
      <c r="T62" s="3">
        <v>0.5</v>
      </c>
      <c r="U62" s="3">
        <v>1.06</v>
      </c>
      <c r="V62" s="3">
        <v>0.77</v>
      </c>
    </row>
    <row r="63" spans="4:22" x14ac:dyDescent="0.25">
      <c r="D63" t="s">
        <v>221</v>
      </c>
      <c r="E63" s="11">
        <v>2028</v>
      </c>
      <c r="F63" s="11">
        <v>3918</v>
      </c>
      <c r="G63" s="3">
        <v>2.9</v>
      </c>
      <c r="H63" s="3">
        <v>-3.27</v>
      </c>
      <c r="I63" s="3">
        <v>-2.78</v>
      </c>
      <c r="J63" s="3">
        <v>-0.64</v>
      </c>
      <c r="K63" s="3">
        <v>-0.93</v>
      </c>
      <c r="L63" s="3">
        <v>0.39</v>
      </c>
      <c r="N63" t="s">
        <v>221</v>
      </c>
      <c r="O63" s="11">
        <v>2219</v>
      </c>
      <c r="P63" s="11">
        <v>4299</v>
      </c>
      <c r="Q63" s="3">
        <v>-3.07</v>
      </c>
      <c r="R63" s="3">
        <v>-3.44</v>
      </c>
      <c r="S63" s="3">
        <v>2.89</v>
      </c>
      <c r="T63" s="3">
        <v>-0.81</v>
      </c>
      <c r="U63" s="3">
        <v>1.05</v>
      </c>
      <c r="V63" s="3">
        <v>0.35</v>
      </c>
    </row>
    <row r="64" spans="4:22" x14ac:dyDescent="0.25">
      <c r="E64" s="3"/>
      <c r="F64" s="11">
        <v>3919</v>
      </c>
      <c r="G64" s="3">
        <v>2.96</v>
      </c>
      <c r="H64" s="3">
        <v>3.33</v>
      </c>
      <c r="I64" s="3">
        <v>-2.8</v>
      </c>
      <c r="J64" s="3">
        <v>-0.55000000000000004</v>
      </c>
      <c r="K64" s="3">
        <v>0.9</v>
      </c>
      <c r="L64" s="3">
        <v>0.53</v>
      </c>
      <c r="O64" s="3"/>
      <c r="P64" s="11">
        <v>4482</v>
      </c>
      <c r="Q64" s="3">
        <v>-2.75</v>
      </c>
      <c r="R64" s="3">
        <v>3.09</v>
      </c>
      <c r="S64" s="3">
        <v>2.62</v>
      </c>
      <c r="T64" s="3">
        <v>-0.5</v>
      </c>
      <c r="U64" s="3">
        <v>-1.03</v>
      </c>
      <c r="V64" s="3">
        <v>0.73</v>
      </c>
    </row>
    <row r="65" spans="4:22" x14ac:dyDescent="0.25">
      <c r="E65" s="3"/>
      <c r="F65" s="11">
        <v>3920</v>
      </c>
      <c r="G65" s="3">
        <v>2.54</v>
      </c>
      <c r="H65" s="3">
        <v>-2.83</v>
      </c>
      <c r="I65" s="3">
        <v>2.37</v>
      </c>
      <c r="J65" s="3">
        <v>0.77</v>
      </c>
      <c r="K65" s="3">
        <v>1.08</v>
      </c>
      <c r="L65" s="3">
        <v>0.41</v>
      </c>
      <c r="O65" s="3"/>
      <c r="P65" s="11">
        <v>4485</v>
      </c>
      <c r="Q65" s="3">
        <v>-2.99</v>
      </c>
      <c r="R65" s="3">
        <v>-3.35</v>
      </c>
      <c r="S65" s="3">
        <v>-2.83</v>
      </c>
      <c r="T65" s="3">
        <v>0.84</v>
      </c>
      <c r="U65" s="3">
        <v>-1.07</v>
      </c>
      <c r="V65" s="3">
        <v>0.35</v>
      </c>
    </row>
    <row r="66" spans="4:22" x14ac:dyDescent="0.25">
      <c r="E66" s="3"/>
      <c r="F66" s="81" t="s">
        <v>293</v>
      </c>
      <c r="G66" s="85">
        <f>G62+G63+G64+G65</f>
        <v>10.899999999999999</v>
      </c>
      <c r="H66" s="85">
        <f t="shared" ref="H66:L66" si="10">H62+H63+H64+H65</f>
        <v>2.0000000000000018E-2</v>
      </c>
      <c r="I66" s="85">
        <f t="shared" si="10"/>
        <v>-0.86999999999999966</v>
      </c>
      <c r="J66" s="85">
        <f t="shared" si="10"/>
        <v>0.12</v>
      </c>
      <c r="K66" s="85">
        <f t="shared" si="10"/>
        <v>-1.0000000000000231E-2</v>
      </c>
      <c r="L66" s="85">
        <f t="shared" si="10"/>
        <v>2.04</v>
      </c>
      <c r="O66" s="3"/>
      <c r="P66" s="81" t="s">
        <v>293</v>
      </c>
      <c r="Q66" s="85">
        <f>Q62+Q63+Q64+Q65</f>
        <v>-11.51</v>
      </c>
      <c r="R66" s="85">
        <f t="shared" ref="R66:V66" si="11">R62+R63+R64+R65</f>
        <v>-0.67000000000000037</v>
      </c>
      <c r="S66" s="85">
        <f t="shared" si="11"/>
        <v>0.14000000000000012</v>
      </c>
      <c r="T66" s="85">
        <f t="shared" si="11"/>
        <v>2.9999999999999916E-2</v>
      </c>
      <c r="U66" s="85">
        <f t="shared" si="11"/>
        <v>1.0000000000000231E-2</v>
      </c>
      <c r="V66" s="85">
        <f t="shared" si="11"/>
        <v>2.2000000000000002</v>
      </c>
    </row>
    <row r="67" spans="4:22" x14ac:dyDescent="0.25">
      <c r="E67" s="3"/>
      <c r="F67" s="81" t="s">
        <v>294</v>
      </c>
      <c r="G67" s="3">
        <f>(G66^2+I66^2)^0.5/$F$18</f>
        <v>0.38673466567547815</v>
      </c>
      <c r="O67" s="3"/>
      <c r="P67" s="81" t="s">
        <v>294</v>
      </c>
      <c r="Q67" s="3">
        <f>(Q66^2+S66^2)^0.5/$F$18</f>
        <v>0.40711308885155623</v>
      </c>
    </row>
    <row r="68" spans="4:22" x14ac:dyDescent="0.25">
      <c r="E68" s="3"/>
      <c r="F68" s="81" t="s">
        <v>299</v>
      </c>
      <c r="G68" s="3">
        <f>H66/$F$18</f>
        <v>7.0735530263064657E-4</v>
      </c>
      <c r="O68" s="3"/>
      <c r="P68" s="81" t="s">
        <v>299</v>
      </c>
      <c r="Q68" s="3">
        <f>R66/$F$18</f>
        <v>-2.3696402638126654E-2</v>
      </c>
    </row>
    <row r="69" spans="4:22" x14ac:dyDescent="0.25">
      <c r="D69" t="s">
        <v>228</v>
      </c>
      <c r="E69" s="3" t="s">
        <v>237</v>
      </c>
      <c r="F69" s="11">
        <v>3893</v>
      </c>
      <c r="G69" s="3">
        <v>1.2</v>
      </c>
      <c r="H69" s="3">
        <v>1.32</v>
      </c>
      <c r="I69" s="3">
        <v>1.0900000000000001</v>
      </c>
      <c r="J69" s="3">
        <v>0.25</v>
      </c>
      <c r="K69" s="3">
        <v>-0.69</v>
      </c>
      <c r="L69" s="3">
        <v>0.56000000000000005</v>
      </c>
      <c r="N69" t="s">
        <v>228</v>
      </c>
      <c r="O69" s="3" t="s">
        <v>250</v>
      </c>
      <c r="P69" s="11">
        <v>4272</v>
      </c>
      <c r="Q69" s="3">
        <v>-1.47</v>
      </c>
      <c r="R69" s="3">
        <v>1.64</v>
      </c>
      <c r="S69" s="3">
        <v>-1.37</v>
      </c>
      <c r="T69" s="3">
        <v>0.17</v>
      </c>
      <c r="U69" s="3">
        <v>0.62</v>
      </c>
      <c r="V69" s="3">
        <v>0.57999999999999996</v>
      </c>
    </row>
    <row r="70" spans="4:22" x14ac:dyDescent="0.25">
      <c r="D70" t="s">
        <v>221</v>
      </c>
      <c r="E70" s="11">
        <v>2016</v>
      </c>
      <c r="F70" s="11">
        <v>3894</v>
      </c>
      <c r="G70" s="3">
        <v>1.87</v>
      </c>
      <c r="H70" s="3">
        <v>-2.12</v>
      </c>
      <c r="I70" s="3">
        <v>-1.82</v>
      </c>
      <c r="J70" s="3">
        <v>-0.42</v>
      </c>
      <c r="K70" s="3">
        <v>-0.44</v>
      </c>
      <c r="L70" s="3">
        <v>7.0000000000000007E-2</v>
      </c>
      <c r="N70" t="s">
        <v>221</v>
      </c>
      <c r="O70" s="11">
        <v>2207</v>
      </c>
      <c r="P70" s="11">
        <v>4275</v>
      </c>
      <c r="Q70" s="3">
        <v>-1.87</v>
      </c>
      <c r="R70" s="3">
        <v>-2.1</v>
      </c>
      <c r="S70" s="3">
        <v>1.77</v>
      </c>
      <c r="T70" s="3">
        <v>-0.6</v>
      </c>
      <c r="U70" s="3">
        <v>0.57999999999999996</v>
      </c>
      <c r="V70" s="3">
        <v>0.05</v>
      </c>
    </row>
    <row r="71" spans="4:22" x14ac:dyDescent="0.25">
      <c r="E71" s="3"/>
      <c r="F71" s="11">
        <v>3895</v>
      </c>
      <c r="G71" s="3">
        <v>1.9</v>
      </c>
      <c r="H71" s="3">
        <v>2.16</v>
      </c>
      <c r="I71" s="3">
        <v>-1.82</v>
      </c>
      <c r="J71" s="3">
        <v>-0.17</v>
      </c>
      <c r="K71" s="3">
        <v>0.43</v>
      </c>
      <c r="L71" s="3">
        <v>0.34</v>
      </c>
      <c r="O71" s="3"/>
      <c r="P71" s="11">
        <v>4458</v>
      </c>
      <c r="Q71" s="3">
        <v>-1.57</v>
      </c>
      <c r="R71" s="3">
        <v>1.76</v>
      </c>
      <c r="S71" s="3">
        <v>1.49</v>
      </c>
      <c r="T71" s="3">
        <v>-0.15</v>
      </c>
      <c r="U71" s="3">
        <v>-0.57999999999999996</v>
      </c>
      <c r="V71" s="3">
        <v>0.54</v>
      </c>
    </row>
    <row r="72" spans="4:22" x14ac:dyDescent="0.25">
      <c r="E72" s="3"/>
      <c r="F72" s="11">
        <v>3896</v>
      </c>
      <c r="G72" s="3">
        <v>1.22</v>
      </c>
      <c r="H72" s="3">
        <v>-1.35</v>
      </c>
      <c r="I72" s="3">
        <v>1.1200000000000001</v>
      </c>
      <c r="J72" s="3">
        <v>0.6</v>
      </c>
      <c r="K72" s="3">
        <v>0.7</v>
      </c>
      <c r="L72" s="3">
        <v>0.18</v>
      </c>
      <c r="O72" s="3"/>
      <c r="P72" s="11">
        <v>4461</v>
      </c>
      <c r="Q72" s="3">
        <v>-1.75</v>
      </c>
      <c r="R72" s="3">
        <v>-1.96</v>
      </c>
      <c r="S72" s="3">
        <v>-1.66</v>
      </c>
      <c r="T72" s="3">
        <v>0.63</v>
      </c>
      <c r="U72" s="3">
        <v>-0.63</v>
      </c>
      <c r="V72" s="3">
        <v>0.06</v>
      </c>
    </row>
    <row r="73" spans="4:22" x14ac:dyDescent="0.25">
      <c r="E73" s="3"/>
      <c r="F73" s="81" t="s">
        <v>293</v>
      </c>
      <c r="G73" s="85">
        <f>G69+G70+G71+G72</f>
        <v>6.19</v>
      </c>
      <c r="H73" s="85">
        <f t="shared" ref="H73:L73" si="12">H69+H70+H71+H72</f>
        <v>1.0000000000000009E-2</v>
      </c>
      <c r="I73" s="85">
        <f t="shared" si="12"/>
        <v>-1.4299999999999997</v>
      </c>
      <c r="J73" s="85">
        <f t="shared" si="12"/>
        <v>0.26</v>
      </c>
      <c r="K73" s="85">
        <f t="shared" si="12"/>
        <v>0</v>
      </c>
      <c r="L73" s="85">
        <f t="shared" si="12"/>
        <v>1.1500000000000001</v>
      </c>
      <c r="O73" s="3"/>
      <c r="P73" s="81" t="s">
        <v>293</v>
      </c>
      <c r="Q73" s="85">
        <f>Q69+Q70+Q71+Q72</f>
        <v>-6.66</v>
      </c>
      <c r="R73" s="85">
        <f t="shared" ref="R73:V73" si="13">R69+R70+R71+R72</f>
        <v>-0.66000000000000014</v>
      </c>
      <c r="S73" s="85">
        <f t="shared" si="13"/>
        <v>0.22999999999999998</v>
      </c>
      <c r="T73" s="85">
        <f t="shared" si="13"/>
        <v>5.0000000000000044E-2</v>
      </c>
      <c r="U73" s="85">
        <f t="shared" si="13"/>
        <v>-1.0000000000000009E-2</v>
      </c>
      <c r="V73" s="85">
        <f t="shared" si="13"/>
        <v>1.23</v>
      </c>
    </row>
    <row r="74" spans="4:22" x14ac:dyDescent="0.25">
      <c r="E74" s="3"/>
      <c r="F74" s="81" t="s">
        <v>294</v>
      </c>
      <c r="G74" s="3">
        <f>(G73^2+I73^2)^0.5/$F$18</f>
        <v>0.22469250024538737</v>
      </c>
      <c r="O74" s="3"/>
      <c r="P74" s="81" t="s">
        <v>294</v>
      </c>
      <c r="Q74" s="3">
        <f>(Q73^2+S73^2)^0.5/$F$18</f>
        <v>0.235689735991227</v>
      </c>
    </row>
    <row r="75" spans="4:22" x14ac:dyDescent="0.25">
      <c r="E75" s="3"/>
      <c r="F75" s="81" t="s">
        <v>299</v>
      </c>
      <c r="G75" s="3">
        <f>H73/$F$18</f>
        <v>3.5367765131532328E-4</v>
      </c>
      <c r="O75" s="3"/>
      <c r="P75" s="81" t="s">
        <v>299</v>
      </c>
      <c r="Q75" s="3">
        <f>R73/$F$18</f>
        <v>-2.3342724986811322E-2</v>
      </c>
    </row>
    <row r="76" spans="4:22" x14ac:dyDescent="0.25">
      <c r="D76" t="s">
        <v>228</v>
      </c>
      <c r="E76" s="3" t="s">
        <v>238</v>
      </c>
      <c r="F76" s="11">
        <v>3865</v>
      </c>
      <c r="G76" s="3">
        <v>0.02</v>
      </c>
      <c r="H76" s="3">
        <v>0</v>
      </c>
      <c r="I76" s="3">
        <v>-0.03</v>
      </c>
      <c r="J76" s="3">
        <v>-0.02</v>
      </c>
      <c r="K76" s="3">
        <v>-0.32</v>
      </c>
      <c r="L76" s="3">
        <v>0.38</v>
      </c>
      <c r="N76" t="s">
        <v>228</v>
      </c>
      <c r="O76" s="3" t="s">
        <v>251</v>
      </c>
      <c r="P76" s="11">
        <v>4248</v>
      </c>
      <c r="Q76" s="3">
        <v>-0.47</v>
      </c>
      <c r="R76" s="3">
        <v>0.51</v>
      </c>
      <c r="S76" s="3">
        <v>-0.42</v>
      </c>
      <c r="T76" s="3">
        <v>-0.1</v>
      </c>
      <c r="U76" s="3">
        <v>0.27</v>
      </c>
      <c r="V76" s="3">
        <v>0.41</v>
      </c>
    </row>
    <row r="77" spans="4:22" x14ac:dyDescent="0.25">
      <c r="D77" t="s">
        <v>221</v>
      </c>
      <c r="E77" s="11">
        <v>2002</v>
      </c>
      <c r="F77" s="11">
        <v>3866</v>
      </c>
      <c r="G77" s="3">
        <v>0.85</v>
      </c>
      <c r="H77" s="3">
        <v>-0.98</v>
      </c>
      <c r="I77" s="3">
        <v>-0.86</v>
      </c>
      <c r="J77" s="3">
        <v>-0.2</v>
      </c>
      <c r="K77" s="3">
        <v>0</v>
      </c>
      <c r="L77" s="3">
        <v>-0.2</v>
      </c>
      <c r="N77" t="s">
        <v>221</v>
      </c>
      <c r="O77" s="11">
        <v>2195</v>
      </c>
      <c r="P77" s="11">
        <v>4251</v>
      </c>
      <c r="Q77" s="3">
        <v>-0.89</v>
      </c>
      <c r="R77" s="3">
        <v>-1</v>
      </c>
      <c r="S77" s="3">
        <v>0.85</v>
      </c>
      <c r="T77" s="3">
        <v>-0.41</v>
      </c>
      <c r="U77" s="3">
        <v>0.22</v>
      </c>
      <c r="V77" s="3">
        <v>-0.16</v>
      </c>
    </row>
    <row r="78" spans="4:22" x14ac:dyDescent="0.25">
      <c r="E78" s="3"/>
      <c r="F78" s="11">
        <v>3867</v>
      </c>
      <c r="G78" s="3">
        <v>0.85</v>
      </c>
      <c r="H78" s="3">
        <v>0.99</v>
      </c>
      <c r="I78" s="3">
        <v>-0.85</v>
      </c>
      <c r="J78" s="3">
        <v>0.16</v>
      </c>
      <c r="K78" s="3">
        <v>0</v>
      </c>
      <c r="L78" s="3">
        <v>0.16</v>
      </c>
      <c r="O78" s="3"/>
      <c r="P78" s="11">
        <v>4434</v>
      </c>
      <c r="Q78" s="3">
        <v>-0.6</v>
      </c>
      <c r="R78" s="3">
        <v>0.67</v>
      </c>
      <c r="S78" s="3">
        <v>0.56999999999999995</v>
      </c>
      <c r="T78" s="3">
        <v>0.12</v>
      </c>
      <c r="U78" s="3">
        <v>-0.22</v>
      </c>
      <c r="V78" s="3">
        <v>0.37</v>
      </c>
    </row>
    <row r="79" spans="4:22" x14ac:dyDescent="0.25">
      <c r="E79" s="3"/>
      <c r="F79" s="11">
        <v>3868</v>
      </c>
      <c r="G79" s="3">
        <v>0.03</v>
      </c>
      <c r="H79" s="3">
        <v>0</v>
      </c>
      <c r="I79" s="3">
        <v>-0.02</v>
      </c>
      <c r="J79" s="3">
        <v>0.38</v>
      </c>
      <c r="K79" s="3">
        <v>0.32</v>
      </c>
      <c r="L79" s="3">
        <v>-0.01</v>
      </c>
      <c r="O79" s="3"/>
      <c r="P79" s="11">
        <v>4437</v>
      </c>
      <c r="Q79" s="3">
        <v>-0.75</v>
      </c>
      <c r="R79" s="3">
        <v>-0.84</v>
      </c>
      <c r="S79" s="3">
        <v>-0.71</v>
      </c>
      <c r="T79" s="3">
        <v>0.44</v>
      </c>
      <c r="U79" s="3">
        <v>-0.27</v>
      </c>
      <c r="V79" s="3">
        <v>-0.13</v>
      </c>
    </row>
    <row r="80" spans="4:22" x14ac:dyDescent="0.25">
      <c r="E80" s="3"/>
      <c r="F80" s="81" t="s">
        <v>293</v>
      </c>
      <c r="G80" s="85">
        <f>G76+G77+G78+G79</f>
        <v>1.75</v>
      </c>
      <c r="H80" s="85">
        <f t="shared" ref="H80:L80" si="14">H76+H77+H78+H79</f>
        <v>1.0000000000000009E-2</v>
      </c>
      <c r="I80" s="85">
        <f t="shared" si="14"/>
        <v>-1.76</v>
      </c>
      <c r="J80" s="85">
        <f t="shared" si="14"/>
        <v>0.32</v>
      </c>
      <c r="K80" s="85">
        <f t="shared" si="14"/>
        <v>0</v>
      </c>
      <c r="L80" s="85">
        <f t="shared" si="14"/>
        <v>0.32999999999999996</v>
      </c>
      <c r="O80" s="3"/>
      <c r="P80" s="81" t="s">
        <v>293</v>
      </c>
      <c r="Q80" s="85">
        <f>Q76+Q77+Q78+Q79</f>
        <v>-2.71</v>
      </c>
      <c r="R80" s="85">
        <f t="shared" ref="R80:V80" si="15">R76+R77+R78+R79</f>
        <v>-0.65999999999999992</v>
      </c>
      <c r="S80" s="85">
        <f t="shared" si="15"/>
        <v>0.29000000000000004</v>
      </c>
      <c r="T80" s="85">
        <f t="shared" si="15"/>
        <v>4.9999999999999989E-2</v>
      </c>
      <c r="U80" s="85">
        <f t="shared" si="15"/>
        <v>0</v>
      </c>
      <c r="V80" s="85">
        <f t="shared" si="15"/>
        <v>0.49</v>
      </c>
    </row>
    <row r="81" spans="4:22" x14ac:dyDescent="0.25">
      <c r="E81" s="3"/>
      <c r="F81" s="81" t="s">
        <v>294</v>
      </c>
      <c r="G81" s="3">
        <f>(G80^2+I80^2)^0.5/$F$18</f>
        <v>8.7781197075115738E-2</v>
      </c>
      <c r="O81" s="3"/>
      <c r="P81" s="81" t="s">
        <v>294</v>
      </c>
      <c r="Q81" s="3">
        <f>(Q80^2+S80^2)^0.5/$F$18</f>
        <v>9.6393868992833628E-2</v>
      </c>
    </row>
    <row r="82" spans="4:22" x14ac:dyDescent="0.25">
      <c r="E82" s="3"/>
      <c r="F82" s="81" t="s">
        <v>299</v>
      </c>
      <c r="G82" s="3">
        <f>H80/$F$18</f>
        <v>3.5367765131532328E-4</v>
      </c>
      <c r="O82" s="3"/>
      <c r="P82" s="81" t="s">
        <v>299</v>
      </c>
      <c r="Q82" s="3">
        <f>R80/$F$18</f>
        <v>-2.3342724986811315E-2</v>
      </c>
    </row>
    <row r="84" spans="4:22" ht="18" x14ac:dyDescent="0.35">
      <c r="D84" s="64" t="s">
        <v>154</v>
      </c>
      <c r="E84" s="65">
        <f>'Sand.panel_t-1,0'!I$24</f>
        <v>1530</v>
      </c>
      <c r="F84" s="3" t="s">
        <v>232</v>
      </c>
      <c r="G84" s="3" t="s">
        <v>222</v>
      </c>
      <c r="H84" s="3" t="s">
        <v>223</v>
      </c>
      <c r="I84" s="3" t="s">
        <v>224</v>
      </c>
      <c r="J84" s="3" t="s">
        <v>225</v>
      </c>
      <c r="K84" s="3" t="s">
        <v>226</v>
      </c>
      <c r="L84" s="3" t="s">
        <v>227</v>
      </c>
      <c r="N84" s="64" t="s">
        <v>154</v>
      </c>
      <c r="O84" s="65">
        <f>'Sand.panel_t-1,0'!I$24</f>
        <v>1530</v>
      </c>
      <c r="P84" s="3" t="s">
        <v>232</v>
      </c>
      <c r="Q84" s="3" t="s">
        <v>222</v>
      </c>
      <c r="R84" s="3" t="s">
        <v>223</v>
      </c>
      <c r="S84" s="3" t="s">
        <v>224</v>
      </c>
      <c r="T84" s="3" t="s">
        <v>225</v>
      </c>
      <c r="U84" s="3" t="s">
        <v>226</v>
      </c>
      <c r="V84" s="3" t="s">
        <v>227</v>
      </c>
    </row>
    <row r="85" spans="4:22" x14ac:dyDescent="0.25">
      <c r="D85" t="s">
        <v>228</v>
      </c>
      <c r="E85" s="3" t="s">
        <v>234</v>
      </c>
      <c r="F85" s="11" t="s">
        <v>241</v>
      </c>
      <c r="N85" t="s">
        <v>228</v>
      </c>
      <c r="O85" s="3" t="s">
        <v>248</v>
      </c>
      <c r="P85" s="11" t="s">
        <v>241</v>
      </c>
    </row>
    <row r="86" spans="4:22" x14ac:dyDescent="0.25">
      <c r="D86" t="s">
        <v>221</v>
      </c>
      <c r="E86" s="11" t="s">
        <v>235</v>
      </c>
      <c r="F86" s="11" t="s">
        <v>242</v>
      </c>
      <c r="N86" t="s">
        <v>221</v>
      </c>
      <c r="O86" s="11" t="s">
        <v>235</v>
      </c>
      <c r="P86" s="11" t="s">
        <v>242</v>
      </c>
    </row>
    <row r="87" spans="4:22" x14ac:dyDescent="0.25">
      <c r="E87" s="3"/>
      <c r="F87" s="11" t="s">
        <v>243</v>
      </c>
      <c r="O87" s="3"/>
      <c r="P87" s="11" t="s">
        <v>243</v>
      </c>
    </row>
    <row r="88" spans="4:22" x14ac:dyDescent="0.25">
      <c r="E88" s="3"/>
      <c r="F88" s="11" t="s">
        <v>244</v>
      </c>
      <c r="O88" s="3"/>
      <c r="P88" s="11" t="s">
        <v>244</v>
      </c>
    </row>
    <row r="89" spans="4:22" x14ac:dyDescent="0.25">
      <c r="D89" t="s">
        <v>228</v>
      </c>
      <c r="E89" s="3" t="s">
        <v>236</v>
      </c>
      <c r="F89" s="11" t="s">
        <v>241</v>
      </c>
      <c r="N89" t="s">
        <v>228</v>
      </c>
      <c r="O89" s="3" t="s">
        <v>249</v>
      </c>
      <c r="P89" s="11" t="s">
        <v>241</v>
      </c>
    </row>
    <row r="90" spans="4:22" x14ac:dyDescent="0.25">
      <c r="D90" t="s">
        <v>221</v>
      </c>
      <c r="E90" s="11" t="s">
        <v>235</v>
      </c>
      <c r="F90" s="11" t="s">
        <v>242</v>
      </c>
      <c r="N90" t="s">
        <v>221</v>
      </c>
      <c r="O90" s="11" t="s">
        <v>235</v>
      </c>
      <c r="P90" s="11" t="s">
        <v>242</v>
      </c>
    </row>
    <row r="91" spans="4:22" x14ac:dyDescent="0.25">
      <c r="E91" s="3"/>
      <c r="F91" s="11" t="s">
        <v>243</v>
      </c>
      <c r="O91" s="3"/>
      <c r="P91" s="11" t="s">
        <v>243</v>
      </c>
    </row>
    <row r="92" spans="4:22" x14ac:dyDescent="0.25">
      <c r="E92" s="3"/>
      <c r="F92" s="11" t="s">
        <v>244</v>
      </c>
      <c r="O92" s="3"/>
      <c r="P92" s="11" t="s">
        <v>244</v>
      </c>
    </row>
    <row r="93" spans="4:22" x14ac:dyDescent="0.25">
      <c r="D93" t="s">
        <v>228</v>
      </c>
      <c r="E93" s="3" t="s">
        <v>237</v>
      </c>
      <c r="F93" s="11" t="s">
        <v>241</v>
      </c>
      <c r="N93" t="s">
        <v>228</v>
      </c>
      <c r="O93" s="3" t="s">
        <v>250</v>
      </c>
      <c r="P93" s="11" t="s">
        <v>241</v>
      </c>
    </row>
    <row r="94" spans="4:22" x14ac:dyDescent="0.25">
      <c r="D94" t="s">
        <v>221</v>
      </c>
      <c r="E94" s="11" t="s">
        <v>235</v>
      </c>
      <c r="F94" s="11" t="s">
        <v>242</v>
      </c>
      <c r="N94" t="s">
        <v>221</v>
      </c>
      <c r="O94" s="11" t="s">
        <v>235</v>
      </c>
      <c r="P94" s="11" t="s">
        <v>242</v>
      </c>
    </row>
    <row r="95" spans="4:22" x14ac:dyDescent="0.25">
      <c r="E95" s="3"/>
      <c r="F95" s="11" t="s">
        <v>243</v>
      </c>
      <c r="O95" s="3"/>
      <c r="P95" s="11" t="s">
        <v>243</v>
      </c>
    </row>
    <row r="96" spans="4:22" x14ac:dyDescent="0.25">
      <c r="E96" s="3"/>
      <c r="F96" s="11" t="s">
        <v>244</v>
      </c>
      <c r="O96" s="3"/>
      <c r="P96" s="11" t="s">
        <v>244</v>
      </c>
    </row>
    <row r="97" spans="4:16" x14ac:dyDescent="0.25">
      <c r="D97" t="s">
        <v>228</v>
      </c>
      <c r="E97" s="3" t="s">
        <v>238</v>
      </c>
      <c r="F97" s="11" t="s">
        <v>241</v>
      </c>
      <c r="N97" t="s">
        <v>228</v>
      </c>
      <c r="O97" s="3" t="s">
        <v>251</v>
      </c>
      <c r="P97" s="11" t="s">
        <v>241</v>
      </c>
    </row>
    <row r="98" spans="4:16" x14ac:dyDescent="0.25">
      <c r="D98" t="s">
        <v>221</v>
      </c>
      <c r="E98" s="11" t="s">
        <v>235</v>
      </c>
      <c r="F98" s="11" t="s">
        <v>242</v>
      </c>
      <c r="N98" t="s">
        <v>221</v>
      </c>
      <c r="O98" s="11" t="s">
        <v>235</v>
      </c>
      <c r="P98" s="11" t="s">
        <v>242</v>
      </c>
    </row>
    <row r="99" spans="4:16" x14ac:dyDescent="0.25">
      <c r="E99" s="3"/>
      <c r="F99" s="11" t="s">
        <v>243</v>
      </c>
      <c r="O99" s="3"/>
      <c r="P99" s="11" t="s">
        <v>243</v>
      </c>
    </row>
    <row r="100" spans="4:16" x14ac:dyDescent="0.25">
      <c r="E100" s="3"/>
      <c r="F100" s="11" t="s">
        <v>244</v>
      </c>
      <c r="O100" s="3"/>
      <c r="P100" s="11" t="s">
        <v>244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0659D-0DCE-46CF-904C-E6A6435910BC}">
  <dimension ref="B1:AA148"/>
  <sheetViews>
    <sheetView topLeftCell="A9" zoomScale="85" zoomScaleNormal="85" workbookViewId="0">
      <selection activeCell="M44" sqref="M44:S46"/>
    </sheetView>
  </sheetViews>
  <sheetFormatPr defaultRowHeight="15" x14ac:dyDescent="0.25"/>
  <cols>
    <col min="1" max="1" width="1.5703125" customWidth="1"/>
    <col min="5" max="5" width="9.140625" customWidth="1"/>
    <col min="6" max="6" width="9.140625" style="3" customWidth="1"/>
    <col min="7" max="7" width="9.140625" style="72" customWidth="1"/>
    <col min="8" max="9" width="9.140625" style="3" customWidth="1"/>
    <col min="10" max="10" width="9.140625" style="72" customWidth="1"/>
    <col min="11" max="11" width="9.140625" style="3" customWidth="1"/>
    <col min="12" max="12" width="9.140625" customWidth="1"/>
    <col min="14" max="14" width="9.140625" style="3" customWidth="1"/>
    <col min="15" max="15" width="9.140625" style="72" customWidth="1"/>
    <col min="16" max="17" width="9.140625" style="3" customWidth="1"/>
    <col min="18" max="18" width="9.140625" style="72" customWidth="1"/>
    <col min="19" max="20" width="9.140625" customWidth="1"/>
    <col min="22" max="22" width="9.140625" customWidth="1"/>
    <col min="23" max="23" width="9.140625" style="72" customWidth="1"/>
    <col min="24" max="25" width="9.140625" customWidth="1"/>
    <col min="26" max="26" width="9.140625" style="72" customWidth="1"/>
    <col min="27" max="27" width="9.140625" customWidth="1"/>
  </cols>
  <sheetData>
    <row r="1" spans="2:27" ht="8.1" customHeight="1" x14ac:dyDescent="0.25"/>
    <row r="2" spans="2:27" ht="18.75" x14ac:dyDescent="0.3">
      <c r="B2" s="30" t="s">
        <v>216</v>
      </c>
      <c r="C2" s="29"/>
      <c r="D2" s="29"/>
      <c r="E2" s="29"/>
      <c r="F2" s="49"/>
      <c r="G2" s="73"/>
      <c r="H2" s="69"/>
    </row>
    <row r="4" spans="2:27" x14ac:dyDescent="0.25">
      <c r="B4" s="14" t="s">
        <v>199</v>
      </c>
    </row>
    <row r="5" spans="2:27" x14ac:dyDescent="0.25">
      <c r="B5" s="14" t="s">
        <v>217</v>
      </c>
    </row>
    <row r="6" spans="2:27" x14ac:dyDescent="0.25">
      <c r="B6" s="70" t="s">
        <v>259</v>
      </c>
      <c r="C6" s="71"/>
      <c r="D6" s="71"/>
      <c r="E6" s="71"/>
    </row>
    <row r="9" spans="2:27" ht="18.75" x14ac:dyDescent="0.3">
      <c r="B9" s="9" t="s">
        <v>218</v>
      </c>
      <c r="C9" s="9"/>
      <c r="D9" s="9"/>
    </row>
    <row r="11" spans="2:27" ht="18" x14ac:dyDescent="0.35">
      <c r="C11" s="40" t="s">
        <v>99</v>
      </c>
      <c r="D11" s="2">
        <f>'Sand.panel_t-1,0'!H36</f>
        <v>1</v>
      </c>
      <c r="E11" t="s">
        <v>113</v>
      </c>
      <c r="H11" s="3" t="s">
        <v>213</v>
      </c>
      <c r="I11" s="63" t="s">
        <v>214</v>
      </c>
      <c r="J11" s="75"/>
    </row>
    <row r="12" spans="2:27" ht="18" x14ac:dyDescent="0.35">
      <c r="C12" s="41" t="s">
        <v>101</v>
      </c>
      <c r="D12" s="2">
        <f>'Sand.panel_t-1,0'!H32</f>
        <v>3</v>
      </c>
      <c r="E12" t="s">
        <v>113</v>
      </c>
      <c r="I12" s="79" t="s">
        <v>215</v>
      </c>
      <c r="J12" s="76"/>
      <c r="L12" s="41" t="s">
        <v>101</v>
      </c>
      <c r="T12" s="41" t="s">
        <v>101</v>
      </c>
    </row>
    <row r="13" spans="2:27" x14ac:dyDescent="0.25">
      <c r="C13" s="44"/>
      <c r="D13" s="2"/>
    </row>
    <row r="14" spans="2:27" x14ac:dyDescent="0.25">
      <c r="E14" t="s">
        <v>2</v>
      </c>
      <c r="F14" s="77" t="s">
        <v>202</v>
      </c>
      <c r="I14" s="77" t="s">
        <v>203</v>
      </c>
      <c r="K14" s="69"/>
      <c r="M14" t="s">
        <v>3</v>
      </c>
      <c r="N14" s="77" t="s">
        <v>202</v>
      </c>
      <c r="Q14" s="77" t="s">
        <v>203</v>
      </c>
      <c r="S14" s="44"/>
      <c r="U14" t="s">
        <v>147</v>
      </c>
      <c r="V14" s="6" t="s">
        <v>202</v>
      </c>
      <c r="Y14" s="6" t="s">
        <v>203</v>
      </c>
      <c r="AA14" s="44"/>
    </row>
    <row r="15" spans="2:27" ht="18" x14ac:dyDescent="0.35">
      <c r="F15" s="78" t="s">
        <v>212</v>
      </c>
      <c r="G15" s="74"/>
      <c r="H15" s="78" t="s">
        <v>201</v>
      </c>
      <c r="I15" s="78" t="s">
        <v>212</v>
      </c>
      <c r="J15" s="74"/>
      <c r="K15" s="78" t="s">
        <v>201</v>
      </c>
      <c r="M15" s="1" t="s">
        <v>114</v>
      </c>
      <c r="N15" s="78" t="s">
        <v>212</v>
      </c>
      <c r="O15" s="74"/>
      <c r="P15" s="78" t="s">
        <v>201</v>
      </c>
      <c r="Q15" s="78" t="s">
        <v>212</v>
      </c>
      <c r="R15" s="74"/>
      <c r="S15" s="62" t="s">
        <v>201</v>
      </c>
      <c r="U15" s="1" t="s">
        <v>114</v>
      </c>
      <c r="V15" s="62" t="s">
        <v>212</v>
      </c>
      <c r="W15" s="74"/>
      <c r="X15" s="62" t="s">
        <v>201</v>
      </c>
      <c r="Y15" s="62" t="s">
        <v>212</v>
      </c>
      <c r="Z15" s="74"/>
      <c r="AA15" s="62" t="s">
        <v>201</v>
      </c>
    </row>
    <row r="16" spans="2:27" x14ac:dyDescent="0.25">
      <c r="E16" s="1" t="s">
        <v>211</v>
      </c>
      <c r="F16" s="78" t="s">
        <v>254</v>
      </c>
      <c r="G16" s="74" t="s">
        <v>256</v>
      </c>
      <c r="H16" s="78" t="s">
        <v>255</v>
      </c>
      <c r="I16" s="78" t="s">
        <v>254</v>
      </c>
      <c r="J16" s="74" t="s">
        <v>256</v>
      </c>
      <c r="K16" s="78" t="s">
        <v>255</v>
      </c>
      <c r="M16" s="1"/>
      <c r="N16" s="78" t="s">
        <v>254</v>
      </c>
      <c r="O16" s="74" t="s">
        <v>256</v>
      </c>
      <c r="P16" s="78" t="s">
        <v>255</v>
      </c>
      <c r="Q16" s="78" t="s">
        <v>254</v>
      </c>
      <c r="R16" s="74" t="s">
        <v>256</v>
      </c>
      <c r="S16" s="62" t="s">
        <v>255</v>
      </c>
      <c r="U16" s="1"/>
      <c r="V16" s="62" t="s">
        <v>254</v>
      </c>
      <c r="W16" s="74" t="s">
        <v>256</v>
      </c>
      <c r="X16" s="62" t="s">
        <v>255</v>
      </c>
      <c r="Y16" s="62" t="s">
        <v>254</v>
      </c>
      <c r="Z16" s="74" t="s">
        <v>256</v>
      </c>
      <c r="AA16" s="62" t="s">
        <v>255</v>
      </c>
    </row>
    <row r="17" spans="3:27" ht="18" x14ac:dyDescent="0.35">
      <c r="D17" t="s">
        <v>13</v>
      </c>
      <c r="E17">
        <f>'Sand.panel_t-1,0'!H$14</f>
        <v>308</v>
      </c>
      <c r="F17" s="3">
        <v>-0.25</v>
      </c>
      <c r="G17" s="72" t="s">
        <v>257</v>
      </c>
      <c r="H17" s="3">
        <v>0.35</v>
      </c>
      <c r="I17" s="3">
        <v>-0.35</v>
      </c>
      <c r="J17" s="75" t="s">
        <v>258</v>
      </c>
      <c r="K17" s="69">
        <v>0.23</v>
      </c>
      <c r="M17">
        <f>'Sand.panel_t-1,0'!I$14</f>
        <v>300</v>
      </c>
      <c r="N17" s="3">
        <v>-0.25</v>
      </c>
      <c r="O17" s="72" t="s">
        <v>282</v>
      </c>
      <c r="P17" s="3">
        <v>0.37</v>
      </c>
      <c r="Q17" s="3">
        <v>-0.36</v>
      </c>
      <c r="S17">
        <v>0.24</v>
      </c>
      <c r="U17">
        <f>'Sand.panel_t-1,0'!J$14</f>
        <v>313.2</v>
      </c>
    </row>
    <row r="18" spans="3:27" ht="18" x14ac:dyDescent="0.35">
      <c r="D18" t="s">
        <v>204</v>
      </c>
      <c r="E18">
        <f>'Sand.panel_t-1,0'!H$16</f>
        <v>594</v>
      </c>
      <c r="F18" s="3">
        <v>-0.85</v>
      </c>
      <c r="G18" s="72" t="s">
        <v>265</v>
      </c>
      <c r="H18" s="3">
        <v>1.1399999999999999</v>
      </c>
      <c r="I18" s="3">
        <v>-1.1399999999999999</v>
      </c>
      <c r="J18" s="72" t="s">
        <v>267</v>
      </c>
      <c r="K18" s="3">
        <v>0.82</v>
      </c>
      <c r="M18">
        <f>'Sand.panel_t-1,0'!I$16</f>
        <v>600</v>
      </c>
      <c r="N18" s="3">
        <v>-0.93</v>
      </c>
      <c r="O18" s="72" t="s">
        <v>283</v>
      </c>
      <c r="P18" s="3">
        <v>1.23</v>
      </c>
      <c r="Q18" s="3">
        <v>-1.22</v>
      </c>
      <c r="S18">
        <v>0.88</v>
      </c>
      <c r="U18">
        <f>'Sand.panel_t-1,0'!J$16</f>
        <v>600.29999999999995</v>
      </c>
    </row>
    <row r="19" spans="3:27" ht="18" x14ac:dyDescent="0.35">
      <c r="D19" t="s">
        <v>205</v>
      </c>
      <c r="E19">
        <f>'Sand.panel_t-1,0'!H$18</f>
        <v>814</v>
      </c>
      <c r="F19" s="3">
        <v>-1.54</v>
      </c>
      <c r="H19" s="3">
        <v>2.08</v>
      </c>
      <c r="I19" s="3">
        <v>-2.0699999999999998</v>
      </c>
      <c r="K19" s="3">
        <v>1.5</v>
      </c>
      <c r="M19">
        <f>'Sand.panel_t-1,0'!I$18</f>
        <v>810</v>
      </c>
      <c r="N19" s="3">
        <v>-1.62</v>
      </c>
      <c r="O19" s="72" t="s">
        <v>284</v>
      </c>
      <c r="P19" s="3">
        <v>2.11</v>
      </c>
      <c r="Q19" s="3">
        <v>-2.1</v>
      </c>
      <c r="S19">
        <v>1.57</v>
      </c>
      <c r="U19">
        <f>'Sand.panel_t-1,0'!J$18</f>
        <v>809.1</v>
      </c>
    </row>
    <row r="20" spans="3:27" ht="18" x14ac:dyDescent="0.35">
      <c r="D20" t="s">
        <v>206</v>
      </c>
      <c r="E20">
        <f>'Sand.panel_t-1,0'!H$20</f>
        <v>990</v>
      </c>
      <c r="F20" s="3">
        <v>-2.25</v>
      </c>
      <c r="G20" s="72" t="s">
        <v>273</v>
      </c>
      <c r="H20" s="3">
        <v>3.03</v>
      </c>
      <c r="I20" s="3">
        <v>-3.03</v>
      </c>
      <c r="K20" s="3">
        <v>2.2000000000000002</v>
      </c>
      <c r="M20">
        <f>'Sand.panel_t-1,0'!I$20</f>
        <v>990</v>
      </c>
      <c r="N20" s="3">
        <v>-2.36</v>
      </c>
      <c r="O20" s="72" t="s">
        <v>285</v>
      </c>
      <c r="P20" s="3">
        <v>3.08</v>
      </c>
      <c r="Q20" s="3">
        <v>-3.08</v>
      </c>
      <c r="S20" s="3">
        <v>2.2999999999999998</v>
      </c>
      <c r="U20">
        <f>'Sand.panel_t-1,0'!J$20</f>
        <v>991.8</v>
      </c>
    </row>
    <row r="21" spans="3:27" ht="18" x14ac:dyDescent="0.35">
      <c r="D21" t="s">
        <v>207</v>
      </c>
      <c r="E21">
        <f>'Sand.panel_t-1,0'!H$22</f>
        <v>1232</v>
      </c>
      <c r="F21" s="3">
        <v>-3.46</v>
      </c>
      <c r="G21" s="72" t="s">
        <v>274</v>
      </c>
      <c r="H21" s="3">
        <v>4.6500000000000004</v>
      </c>
      <c r="I21" s="3">
        <v>-4.6500000000000004</v>
      </c>
      <c r="K21" s="3">
        <v>3.44</v>
      </c>
      <c r="M21">
        <f>'Sand.panel_t-1,0'!I$22</f>
        <v>1230</v>
      </c>
      <c r="N21" s="3">
        <v>-3.57</v>
      </c>
      <c r="O21" s="72" t="s">
        <v>286</v>
      </c>
      <c r="P21" s="3">
        <v>4.6900000000000004</v>
      </c>
      <c r="Q21" s="3">
        <v>-4.68</v>
      </c>
      <c r="S21" s="3">
        <v>3.5</v>
      </c>
      <c r="U21">
        <f>'Sand.panel_t-1,0'!J$22</f>
        <v>1226.7</v>
      </c>
    </row>
    <row r="22" spans="3:27" ht="18" x14ac:dyDescent="0.35">
      <c r="D22" t="s">
        <v>208</v>
      </c>
      <c r="E22">
        <f>'Sand.panel_t-1,0'!H$24</f>
        <v>1540</v>
      </c>
      <c r="F22" s="3">
        <v>-5.34</v>
      </c>
      <c r="G22" s="72" t="s">
        <v>275</v>
      </c>
      <c r="H22" s="3">
        <v>7.22</v>
      </c>
      <c r="I22" s="3">
        <v>-7.22</v>
      </c>
      <c r="J22" s="72" t="s">
        <v>276</v>
      </c>
      <c r="K22" s="3">
        <v>5.32</v>
      </c>
      <c r="M22">
        <f>'Sand.panel_t-1,0'!I$24</f>
        <v>1530</v>
      </c>
      <c r="N22" s="3">
        <v>-5.47</v>
      </c>
      <c r="O22" s="72" t="s">
        <v>287</v>
      </c>
      <c r="P22" s="3">
        <v>7.18</v>
      </c>
      <c r="Q22" s="3">
        <v>-7.17</v>
      </c>
      <c r="S22" s="3">
        <v>5.44</v>
      </c>
      <c r="U22">
        <f>'Sand.panel_t-1,0'!J$24</f>
        <v>1539.9</v>
      </c>
    </row>
    <row r="23" spans="3:27" ht="18" x14ac:dyDescent="0.35">
      <c r="D23" t="s">
        <v>209</v>
      </c>
      <c r="E23">
        <f>'Sand.panel_t-1,0'!H$26</f>
        <v>1804</v>
      </c>
      <c r="F23" s="3">
        <v>-7.28</v>
      </c>
      <c r="G23" s="72" t="s">
        <v>277</v>
      </c>
      <c r="H23" s="3">
        <v>9.8699999999999992</v>
      </c>
      <c r="I23" s="3">
        <v>-9.8699999999999992</v>
      </c>
      <c r="J23" s="72" t="s">
        <v>278</v>
      </c>
      <c r="K23" s="3">
        <v>7.27</v>
      </c>
      <c r="M23">
        <f>'Sand.panel_t-1,0'!I$26</f>
        <v>1800</v>
      </c>
      <c r="N23" s="3">
        <v>-7.5</v>
      </c>
      <c r="O23" s="72" t="s">
        <v>288</v>
      </c>
      <c r="P23" s="3">
        <v>9.8800000000000008</v>
      </c>
      <c r="Q23" s="3">
        <v>-9.8699999999999992</v>
      </c>
      <c r="S23" s="3">
        <v>7.48</v>
      </c>
      <c r="U23">
        <f>'Sand.panel_t-1,0'!J$26</f>
        <v>1800.9</v>
      </c>
    </row>
    <row r="24" spans="3:27" ht="18" x14ac:dyDescent="0.35">
      <c r="D24" t="s">
        <v>210</v>
      </c>
      <c r="E24">
        <f>'Sand.panel_t-1,0'!H$28</f>
        <v>2002</v>
      </c>
      <c r="F24" s="3">
        <v>-8.94</v>
      </c>
      <c r="G24" s="72" t="s">
        <v>281</v>
      </c>
      <c r="H24" s="3">
        <v>12.13</v>
      </c>
      <c r="I24" s="3">
        <v>-12.13</v>
      </c>
      <c r="K24" s="3">
        <v>8.93</v>
      </c>
      <c r="M24">
        <f>'Sand.panel_t-1,0'!I$28</f>
        <v>2010</v>
      </c>
      <c r="N24" s="3">
        <v>-9.31</v>
      </c>
      <c r="O24" s="72" t="s">
        <v>289</v>
      </c>
      <c r="P24" s="3">
        <v>12.28</v>
      </c>
      <c r="Q24" s="3">
        <v>-12.27</v>
      </c>
      <c r="S24" s="3">
        <v>9.2799999999999994</v>
      </c>
      <c r="U24">
        <f>'Sand.panel_t-1,0'!J$28</f>
        <v>2009.7</v>
      </c>
    </row>
    <row r="26" spans="3:27" x14ac:dyDescent="0.25">
      <c r="K26" s="69"/>
    </row>
    <row r="27" spans="3:27" ht="18" x14ac:dyDescent="0.35">
      <c r="C27" s="41" t="s">
        <v>102</v>
      </c>
      <c r="D27" s="2">
        <f>'Sand.panel_t-1,0'!H33</f>
        <v>3.5</v>
      </c>
      <c r="E27" t="s">
        <v>113</v>
      </c>
      <c r="H27" s="78"/>
      <c r="I27" s="80"/>
      <c r="L27" s="41" t="s">
        <v>102</v>
      </c>
      <c r="T27" s="41" t="s">
        <v>102</v>
      </c>
    </row>
    <row r="28" spans="3:27" x14ac:dyDescent="0.25">
      <c r="C28" s="44"/>
      <c r="D28" s="2"/>
    </row>
    <row r="29" spans="3:27" x14ac:dyDescent="0.25">
      <c r="E29" t="s">
        <v>2</v>
      </c>
      <c r="F29" s="77" t="s">
        <v>202</v>
      </c>
      <c r="I29" s="77" t="s">
        <v>203</v>
      </c>
      <c r="K29" s="69"/>
      <c r="M29" t="s">
        <v>3</v>
      </c>
      <c r="N29" s="77" t="s">
        <v>202</v>
      </c>
      <c r="Q29" s="77" t="s">
        <v>203</v>
      </c>
      <c r="S29" s="44"/>
      <c r="U29" t="s">
        <v>147</v>
      </c>
      <c r="V29" s="6" t="s">
        <v>202</v>
      </c>
      <c r="Y29" s="6" t="s">
        <v>203</v>
      </c>
      <c r="AA29" s="44"/>
    </row>
    <row r="30" spans="3:27" ht="18" x14ac:dyDescent="0.35">
      <c r="F30" s="78" t="s">
        <v>212</v>
      </c>
      <c r="G30" s="74"/>
      <c r="H30" s="78" t="s">
        <v>201</v>
      </c>
      <c r="I30" s="78" t="s">
        <v>212</v>
      </c>
      <c r="J30" s="74"/>
      <c r="K30" s="78" t="s">
        <v>201</v>
      </c>
      <c r="M30" s="1" t="s">
        <v>114</v>
      </c>
      <c r="N30" s="78" t="s">
        <v>212</v>
      </c>
      <c r="O30" s="74"/>
      <c r="P30" s="78" t="s">
        <v>201</v>
      </c>
      <c r="Q30" s="78" t="s">
        <v>212</v>
      </c>
      <c r="R30" s="74"/>
      <c r="S30" s="62" t="s">
        <v>201</v>
      </c>
      <c r="U30" s="1" t="s">
        <v>114</v>
      </c>
      <c r="V30" s="62" t="s">
        <v>212</v>
      </c>
      <c r="W30" s="74"/>
      <c r="X30" s="62" t="s">
        <v>201</v>
      </c>
      <c r="Y30" s="62" t="s">
        <v>212</v>
      </c>
      <c r="Z30" s="74"/>
      <c r="AA30" s="62" t="s">
        <v>201</v>
      </c>
    </row>
    <row r="31" spans="3:27" x14ac:dyDescent="0.25">
      <c r="E31" s="1" t="s">
        <v>211</v>
      </c>
      <c r="F31" s="78" t="s">
        <v>254</v>
      </c>
      <c r="G31" s="74" t="s">
        <v>256</v>
      </c>
      <c r="H31" s="78" t="s">
        <v>255</v>
      </c>
      <c r="I31" s="78" t="s">
        <v>254</v>
      </c>
      <c r="J31" s="74" t="s">
        <v>256</v>
      </c>
      <c r="K31" s="78" t="s">
        <v>255</v>
      </c>
      <c r="M31" s="1"/>
      <c r="N31" s="78" t="s">
        <v>254</v>
      </c>
      <c r="O31" s="74" t="s">
        <v>256</v>
      </c>
      <c r="P31" s="78" t="s">
        <v>255</v>
      </c>
      <c r="Q31" s="78" t="s">
        <v>254</v>
      </c>
      <c r="R31" s="74" t="s">
        <v>256</v>
      </c>
      <c r="S31" s="62" t="s">
        <v>255</v>
      </c>
      <c r="U31" s="1"/>
      <c r="V31" s="62" t="s">
        <v>254</v>
      </c>
      <c r="W31" s="74" t="s">
        <v>256</v>
      </c>
      <c r="X31" s="62" t="s">
        <v>255</v>
      </c>
      <c r="Y31" s="62" t="s">
        <v>254</v>
      </c>
      <c r="Z31" s="74" t="s">
        <v>256</v>
      </c>
      <c r="AA31" s="62" t="s">
        <v>255</v>
      </c>
    </row>
    <row r="32" spans="3:27" ht="18" x14ac:dyDescent="0.35">
      <c r="D32" t="s">
        <v>13</v>
      </c>
      <c r="E32">
        <f>'Sand.panel_t-1,0'!H$14</f>
        <v>308</v>
      </c>
      <c r="F32" s="3">
        <v>-0.26</v>
      </c>
      <c r="G32" s="72" t="s">
        <v>257</v>
      </c>
      <c r="H32" s="3">
        <v>0.35</v>
      </c>
      <c r="I32" s="3">
        <v>-0.35</v>
      </c>
      <c r="J32" s="72" t="s">
        <v>263</v>
      </c>
      <c r="K32" s="69">
        <v>0.24</v>
      </c>
      <c r="M32">
        <f>'Sand.panel_t-1,0'!I$14</f>
        <v>300</v>
      </c>
      <c r="N32" s="3">
        <v>-0.26</v>
      </c>
      <c r="P32" s="3">
        <v>0.37</v>
      </c>
      <c r="Q32" s="3">
        <v>-0.36</v>
      </c>
      <c r="S32">
        <v>0.25</v>
      </c>
      <c r="U32">
        <f>'Sand.panel_t-1,0'!J$14</f>
        <v>313.2</v>
      </c>
    </row>
    <row r="33" spans="3:27" ht="18" x14ac:dyDescent="0.35">
      <c r="D33" t="s">
        <v>204</v>
      </c>
      <c r="E33">
        <f>'Sand.panel_t-1,0'!H$16</f>
        <v>594</v>
      </c>
      <c r="F33" s="3">
        <v>-0.85</v>
      </c>
      <c r="G33" s="72" t="s">
        <v>265</v>
      </c>
      <c r="H33" s="3">
        <v>1.1399999999999999</v>
      </c>
      <c r="I33" s="3">
        <v>-1.1399999999999999</v>
      </c>
      <c r="J33" s="72" t="s">
        <v>269</v>
      </c>
      <c r="K33" s="3">
        <v>0.82</v>
      </c>
      <c r="M33">
        <f>'Sand.panel_t-1,0'!I$16</f>
        <v>600</v>
      </c>
      <c r="N33" s="3">
        <v>-0.93</v>
      </c>
      <c r="P33" s="3">
        <v>1.23</v>
      </c>
      <c r="Q33" s="3">
        <v>-1.22</v>
      </c>
      <c r="S33">
        <v>0.88</v>
      </c>
      <c r="U33">
        <f>'Sand.panel_t-1,0'!J$16</f>
        <v>600.29999999999995</v>
      </c>
    </row>
    <row r="34" spans="3:27" ht="18" x14ac:dyDescent="0.35">
      <c r="D34" t="s">
        <v>205</v>
      </c>
      <c r="E34">
        <f>'Sand.panel_t-1,0'!H$18</f>
        <v>814</v>
      </c>
      <c r="F34" s="3">
        <v>-1.53</v>
      </c>
      <c r="H34" s="3">
        <v>2.08</v>
      </c>
      <c r="I34" s="3">
        <v>-2.0699999999999998</v>
      </c>
      <c r="K34" s="3">
        <v>1.5</v>
      </c>
      <c r="M34">
        <f>'Sand.panel_t-1,0'!I$18</f>
        <v>810</v>
      </c>
      <c r="N34" s="3">
        <v>-1.62</v>
      </c>
      <c r="P34" s="3">
        <v>2.11</v>
      </c>
      <c r="Q34" s="3">
        <v>-2.1</v>
      </c>
      <c r="S34" s="3">
        <v>1.57</v>
      </c>
      <c r="U34">
        <f>'Sand.panel_t-1,0'!J$18</f>
        <v>809.1</v>
      </c>
    </row>
    <row r="35" spans="3:27" ht="18" x14ac:dyDescent="0.35">
      <c r="D35" t="s">
        <v>206</v>
      </c>
      <c r="E35">
        <f>'Sand.panel_t-1,0'!H$20</f>
        <v>990</v>
      </c>
      <c r="F35" s="3">
        <v>-2.23</v>
      </c>
      <c r="H35" s="3">
        <v>3.03</v>
      </c>
      <c r="I35" s="3">
        <v>-3.03</v>
      </c>
      <c r="K35" s="3">
        <v>2.19</v>
      </c>
      <c r="M35">
        <f>'Sand.panel_t-1,0'!I$20</f>
        <v>990</v>
      </c>
      <c r="N35" s="3">
        <v>-2.35</v>
      </c>
      <c r="P35" s="3">
        <v>3.08</v>
      </c>
      <c r="Q35" s="3">
        <v>-3.08</v>
      </c>
      <c r="S35" s="3">
        <v>2.2999999999999998</v>
      </c>
      <c r="U35">
        <f>'Sand.panel_t-1,0'!J$20</f>
        <v>991.8</v>
      </c>
    </row>
    <row r="36" spans="3:27" ht="18" x14ac:dyDescent="0.35">
      <c r="D36" t="s">
        <v>207</v>
      </c>
      <c r="E36">
        <f>'Sand.panel_t-1,0'!H$22</f>
        <v>1232</v>
      </c>
      <c r="F36" s="3">
        <v>-3.44</v>
      </c>
      <c r="H36" s="3">
        <v>4.6500000000000004</v>
      </c>
      <c r="I36" s="3">
        <v>-4.6500000000000004</v>
      </c>
      <c r="K36" s="3">
        <v>3.42</v>
      </c>
      <c r="M36">
        <f>'Sand.panel_t-1,0'!I$22</f>
        <v>1230</v>
      </c>
      <c r="N36" s="3">
        <v>-3.55</v>
      </c>
      <c r="P36" s="3">
        <v>4.6900000000000004</v>
      </c>
      <c r="Q36" s="3">
        <v>-4.68</v>
      </c>
      <c r="S36" s="3">
        <v>3.49</v>
      </c>
      <c r="U36">
        <f>'Sand.panel_t-1,0'!J$22</f>
        <v>1226.7</v>
      </c>
    </row>
    <row r="37" spans="3:27" ht="18" x14ac:dyDescent="0.35">
      <c r="D37" t="s">
        <v>208</v>
      </c>
      <c r="E37">
        <f>'Sand.panel_t-1,0'!H$24</f>
        <v>1540</v>
      </c>
      <c r="F37" s="3">
        <v>-5.3</v>
      </c>
      <c r="H37" s="3">
        <v>7.22</v>
      </c>
      <c r="I37" s="3">
        <v>-7.22</v>
      </c>
      <c r="K37" s="3">
        <v>5.29</v>
      </c>
      <c r="M37">
        <f>'Sand.panel_t-1,0'!I$24</f>
        <v>1530</v>
      </c>
      <c r="N37" s="3">
        <v>-5.45</v>
      </c>
      <c r="P37" s="3">
        <v>7.18</v>
      </c>
      <c r="Q37" s="3">
        <v>-7.17</v>
      </c>
      <c r="S37" s="3">
        <v>5.44</v>
      </c>
      <c r="U37">
        <f>'Sand.panel_t-1,0'!J$24</f>
        <v>1539.9</v>
      </c>
    </row>
    <row r="38" spans="3:27" ht="18" x14ac:dyDescent="0.35">
      <c r="D38" t="s">
        <v>209</v>
      </c>
      <c r="E38">
        <f>'Sand.panel_t-1,0'!H$26</f>
        <v>1804</v>
      </c>
      <c r="F38" s="3">
        <v>-7.23</v>
      </c>
      <c r="H38" s="3">
        <v>9.8699999999999992</v>
      </c>
      <c r="I38" s="3">
        <v>-9.8699999999999992</v>
      </c>
      <c r="K38" s="3">
        <v>7.22</v>
      </c>
      <c r="M38">
        <f>'Sand.panel_t-1,0'!I$26</f>
        <v>1800</v>
      </c>
      <c r="N38" s="3">
        <v>-7.47</v>
      </c>
      <c r="P38" s="3">
        <v>9.8800000000000008</v>
      </c>
      <c r="Q38" s="3">
        <v>-9.8699999999999992</v>
      </c>
      <c r="S38" s="3">
        <v>7.46</v>
      </c>
      <c r="U38">
        <f>'Sand.panel_t-1,0'!J$26</f>
        <v>1800.9</v>
      </c>
    </row>
    <row r="39" spans="3:27" ht="18" x14ac:dyDescent="0.35">
      <c r="D39" t="s">
        <v>210</v>
      </c>
      <c r="E39">
        <f>'Sand.panel_t-1,0'!H$28</f>
        <v>2002</v>
      </c>
      <c r="F39" s="3">
        <v>-8.8699999999999992</v>
      </c>
      <c r="H39" s="3">
        <v>12.13</v>
      </c>
      <c r="I39" s="3">
        <v>-12.13</v>
      </c>
      <c r="K39" s="3">
        <v>8.86</v>
      </c>
      <c r="M39">
        <f>'Sand.panel_t-1,0'!I$28</f>
        <v>2010</v>
      </c>
      <c r="N39" s="3">
        <v>-9.26</v>
      </c>
      <c r="P39" s="3">
        <v>12.28</v>
      </c>
      <c r="Q39" s="3">
        <v>-12.27</v>
      </c>
      <c r="S39" s="3">
        <v>9.25</v>
      </c>
      <c r="U39">
        <f>'Sand.panel_t-1,0'!J$28</f>
        <v>2009.7</v>
      </c>
    </row>
    <row r="42" spans="3:27" ht="18" x14ac:dyDescent="0.35">
      <c r="C42" s="41" t="s">
        <v>103</v>
      </c>
      <c r="D42" s="2">
        <f>'Sand.panel_t-1,0'!H34</f>
        <v>4</v>
      </c>
      <c r="E42" t="s">
        <v>113</v>
      </c>
      <c r="H42" s="78"/>
      <c r="I42" s="80"/>
      <c r="L42" s="41" t="s">
        <v>103</v>
      </c>
      <c r="S42" s="41" t="s">
        <v>103</v>
      </c>
    </row>
    <row r="43" spans="3:27" x14ac:dyDescent="0.25">
      <c r="C43" s="44"/>
      <c r="D43" s="2"/>
    </row>
    <row r="44" spans="3:27" x14ac:dyDescent="0.25">
      <c r="E44" t="s">
        <v>2</v>
      </c>
      <c r="F44" s="77" t="s">
        <v>202</v>
      </c>
      <c r="I44" s="77" t="s">
        <v>203</v>
      </c>
      <c r="K44" s="69"/>
      <c r="M44" t="s">
        <v>3</v>
      </c>
      <c r="N44" s="77" t="s">
        <v>202</v>
      </c>
      <c r="Q44" s="77" t="s">
        <v>203</v>
      </c>
      <c r="S44" s="44"/>
      <c r="U44" t="s">
        <v>147</v>
      </c>
      <c r="V44" s="6" t="s">
        <v>202</v>
      </c>
      <c r="Y44" s="6" t="s">
        <v>203</v>
      </c>
      <c r="AA44" s="44"/>
    </row>
    <row r="45" spans="3:27" ht="18" x14ac:dyDescent="0.35">
      <c r="F45" s="78" t="s">
        <v>212</v>
      </c>
      <c r="G45" s="74"/>
      <c r="H45" s="78" t="s">
        <v>201</v>
      </c>
      <c r="I45" s="78" t="s">
        <v>212</v>
      </c>
      <c r="J45" s="74"/>
      <c r="K45" s="78" t="s">
        <v>201</v>
      </c>
      <c r="M45" s="1" t="s">
        <v>114</v>
      </c>
      <c r="N45" s="78" t="s">
        <v>212</v>
      </c>
      <c r="O45" s="74"/>
      <c r="P45" s="78" t="s">
        <v>201</v>
      </c>
      <c r="Q45" s="78" t="s">
        <v>212</v>
      </c>
      <c r="R45" s="74"/>
      <c r="S45" s="62" t="s">
        <v>201</v>
      </c>
      <c r="U45" s="1" t="s">
        <v>114</v>
      </c>
      <c r="V45" s="62" t="s">
        <v>212</v>
      </c>
      <c r="W45" s="74"/>
      <c r="X45" s="62" t="s">
        <v>201</v>
      </c>
      <c r="Y45" s="62" t="s">
        <v>212</v>
      </c>
      <c r="Z45" s="74"/>
      <c r="AA45" s="62" t="s">
        <v>201</v>
      </c>
    </row>
    <row r="46" spans="3:27" x14ac:dyDescent="0.25">
      <c r="E46" s="1" t="s">
        <v>211</v>
      </c>
      <c r="F46" s="78" t="s">
        <v>254</v>
      </c>
      <c r="G46" s="74" t="s">
        <v>256</v>
      </c>
      <c r="H46" s="78" t="s">
        <v>255</v>
      </c>
      <c r="I46" s="78" t="s">
        <v>254</v>
      </c>
      <c r="J46" s="74" t="s">
        <v>256</v>
      </c>
      <c r="K46" s="78" t="s">
        <v>255</v>
      </c>
      <c r="M46" s="1"/>
      <c r="N46" s="78" t="s">
        <v>254</v>
      </c>
      <c r="O46" s="74" t="s">
        <v>256</v>
      </c>
      <c r="P46" s="78" t="s">
        <v>255</v>
      </c>
      <c r="Q46" s="78" t="s">
        <v>254</v>
      </c>
      <c r="R46" s="74" t="s">
        <v>256</v>
      </c>
      <c r="S46" s="62" t="s">
        <v>255</v>
      </c>
      <c r="U46" s="1"/>
      <c r="V46" s="62" t="s">
        <v>254</v>
      </c>
      <c r="W46" s="74" t="s">
        <v>256</v>
      </c>
      <c r="X46" s="62" t="s">
        <v>255</v>
      </c>
      <c r="Y46" s="62" t="s">
        <v>254</v>
      </c>
      <c r="Z46" s="74" t="s">
        <v>256</v>
      </c>
      <c r="AA46" s="62" t="s">
        <v>255</v>
      </c>
    </row>
    <row r="47" spans="3:27" ht="18" x14ac:dyDescent="0.35">
      <c r="D47" t="s">
        <v>13</v>
      </c>
      <c r="E47">
        <f>'Sand.panel_t-1,0'!H$14</f>
        <v>308</v>
      </c>
      <c r="F47" s="3">
        <v>-0.26</v>
      </c>
      <c r="H47" s="3">
        <v>0.36</v>
      </c>
      <c r="I47" s="3">
        <v>-0.35</v>
      </c>
      <c r="K47" s="69">
        <v>0.24</v>
      </c>
      <c r="M47">
        <f>'Sand.panel_t-1,0'!I$14</f>
        <v>300</v>
      </c>
      <c r="N47" s="3">
        <v>-0.26</v>
      </c>
      <c r="P47" s="3">
        <v>0.37</v>
      </c>
      <c r="Q47" s="3">
        <v>-0.36</v>
      </c>
      <c r="S47">
        <v>0.25</v>
      </c>
      <c r="U47">
        <f>'Sand.panel_t-1,0'!J$14</f>
        <v>313.2</v>
      </c>
    </row>
    <row r="48" spans="3:27" ht="18" x14ac:dyDescent="0.35">
      <c r="D48" t="s">
        <v>204</v>
      </c>
      <c r="E48">
        <f>'Sand.panel_t-1,0'!H$16</f>
        <v>594</v>
      </c>
      <c r="F48" s="3">
        <v>-0.84</v>
      </c>
      <c r="G48" s="72" t="s">
        <v>265</v>
      </c>
      <c r="H48" s="3">
        <v>1.1399999999999999</v>
      </c>
      <c r="I48" s="3">
        <v>-1.1399999999999999</v>
      </c>
      <c r="J48" s="72" t="s">
        <v>270</v>
      </c>
      <c r="K48" s="3">
        <v>0.82</v>
      </c>
      <c r="M48">
        <f>'Sand.panel_t-1,0'!I$16</f>
        <v>600</v>
      </c>
      <c r="N48" s="3">
        <v>-0.93</v>
      </c>
      <c r="P48" s="3">
        <v>1.23</v>
      </c>
      <c r="Q48" s="3">
        <v>-1.22</v>
      </c>
      <c r="S48">
        <v>0.88</v>
      </c>
      <c r="U48">
        <f>'Sand.panel_t-1,0'!J$16</f>
        <v>600.29999999999995</v>
      </c>
    </row>
    <row r="49" spans="3:27" ht="18" x14ac:dyDescent="0.35">
      <c r="D49" t="s">
        <v>205</v>
      </c>
      <c r="E49">
        <f>'Sand.panel_t-1,0'!H$18</f>
        <v>814</v>
      </c>
      <c r="F49" s="3">
        <v>-1.52</v>
      </c>
      <c r="H49" s="3">
        <v>2.08</v>
      </c>
      <c r="I49" s="3">
        <v>-2.0699999999999998</v>
      </c>
      <c r="K49" s="3">
        <v>1.49</v>
      </c>
      <c r="M49">
        <f>'Sand.panel_t-1,0'!I$18</f>
        <v>810</v>
      </c>
      <c r="N49" s="3">
        <v>-1.61</v>
      </c>
      <c r="P49" s="3">
        <v>2.11</v>
      </c>
      <c r="Q49" s="3">
        <v>-2.1</v>
      </c>
      <c r="S49" s="3">
        <v>1.56</v>
      </c>
      <c r="U49">
        <f>'Sand.panel_t-1,0'!J$18</f>
        <v>809.1</v>
      </c>
    </row>
    <row r="50" spans="3:27" ht="18" x14ac:dyDescent="0.35">
      <c r="D50" t="s">
        <v>206</v>
      </c>
      <c r="E50">
        <f>'Sand.panel_t-1,0'!H$20</f>
        <v>990</v>
      </c>
      <c r="F50" s="3">
        <v>-2.2000000000000002</v>
      </c>
      <c r="H50" s="3">
        <v>3.03</v>
      </c>
      <c r="I50" s="3">
        <v>-3.03</v>
      </c>
      <c r="K50" s="3">
        <v>2.1800000000000002</v>
      </c>
      <c r="M50">
        <f>'Sand.panel_t-1,0'!I$20</f>
        <v>990</v>
      </c>
      <c r="N50" s="3">
        <v>-2.34</v>
      </c>
      <c r="P50" s="3">
        <v>3.08</v>
      </c>
      <c r="Q50" s="3">
        <v>-3.08</v>
      </c>
      <c r="S50" s="3">
        <v>2.29</v>
      </c>
      <c r="U50">
        <f>'Sand.panel_t-1,0'!J$20</f>
        <v>991.8</v>
      </c>
    </row>
    <row r="51" spans="3:27" ht="18" x14ac:dyDescent="0.35">
      <c r="D51" t="s">
        <v>207</v>
      </c>
      <c r="E51">
        <f>'Sand.panel_t-1,0'!H$22</f>
        <v>1232</v>
      </c>
      <c r="F51" s="3">
        <v>-3.41</v>
      </c>
      <c r="H51" s="3">
        <v>4.6500000000000004</v>
      </c>
      <c r="I51" s="3">
        <v>-4.6500000000000004</v>
      </c>
      <c r="K51" s="3">
        <v>3.41</v>
      </c>
      <c r="M51">
        <f>'Sand.panel_t-1,0'!I$22</f>
        <v>1230</v>
      </c>
      <c r="N51" s="3">
        <v>-3.53</v>
      </c>
      <c r="P51" s="3">
        <v>4.6900000000000004</v>
      </c>
      <c r="Q51" s="3">
        <v>-4.68</v>
      </c>
      <c r="S51" s="3">
        <v>3.47</v>
      </c>
      <c r="U51">
        <f>'Sand.panel_t-1,0'!J$22</f>
        <v>1226.7</v>
      </c>
    </row>
    <row r="52" spans="3:27" ht="18" x14ac:dyDescent="0.35">
      <c r="D52" t="s">
        <v>208</v>
      </c>
      <c r="E52">
        <f>'Sand.panel_t-1,0'!H$24</f>
        <v>1540</v>
      </c>
      <c r="F52" s="3">
        <v>-5.26</v>
      </c>
      <c r="H52" s="3">
        <v>7.22</v>
      </c>
      <c r="I52" s="3">
        <v>-7.21</v>
      </c>
      <c r="K52" s="3">
        <v>5.26</v>
      </c>
      <c r="M52">
        <f>'Sand.panel_t-1,0'!I$24</f>
        <v>1530</v>
      </c>
      <c r="N52" s="3">
        <v>-5.43</v>
      </c>
      <c r="P52" s="3">
        <v>7.18</v>
      </c>
      <c r="Q52" s="3">
        <v>-7.17</v>
      </c>
      <c r="S52" s="3">
        <v>5.43</v>
      </c>
      <c r="U52">
        <f>'Sand.panel_t-1,0'!J$24</f>
        <v>1539.9</v>
      </c>
    </row>
    <row r="53" spans="3:27" ht="18" x14ac:dyDescent="0.35">
      <c r="D53" t="s">
        <v>209</v>
      </c>
      <c r="E53">
        <f>'Sand.panel_t-1,0'!H$26</f>
        <v>1804</v>
      </c>
      <c r="F53" s="3">
        <v>-7.17</v>
      </c>
      <c r="G53" s="72" t="s">
        <v>279</v>
      </c>
      <c r="H53" s="3">
        <v>9.8699999999999992</v>
      </c>
      <c r="I53" s="3">
        <v>-9.86</v>
      </c>
      <c r="K53" s="3">
        <v>7.17</v>
      </c>
      <c r="M53">
        <f>'Sand.panel_t-1,0'!I$26</f>
        <v>1800</v>
      </c>
      <c r="N53" s="3">
        <v>-7.44</v>
      </c>
      <c r="P53" s="3">
        <v>9.8800000000000008</v>
      </c>
      <c r="Q53" s="3">
        <v>-9.8699999999999992</v>
      </c>
      <c r="S53" s="3">
        <v>7.43</v>
      </c>
      <c r="U53">
        <f>'Sand.panel_t-1,0'!J$26</f>
        <v>1800.9</v>
      </c>
    </row>
    <row r="54" spans="3:27" ht="18" x14ac:dyDescent="0.35">
      <c r="D54" t="s">
        <v>210</v>
      </c>
      <c r="E54">
        <f>'Sand.panel_t-1,0'!H$28</f>
        <v>2002</v>
      </c>
      <c r="F54" s="3">
        <v>-8.81</v>
      </c>
      <c r="H54" s="3">
        <v>12.13</v>
      </c>
      <c r="I54" s="3">
        <v>-12.13</v>
      </c>
      <c r="K54" s="3">
        <v>8.8000000000000007</v>
      </c>
      <c r="M54">
        <f>'Sand.panel_t-1,0'!I$28</f>
        <v>2010</v>
      </c>
      <c r="N54" s="3">
        <v>-9.2100000000000009</v>
      </c>
      <c r="P54" s="3">
        <v>12.28</v>
      </c>
      <c r="Q54" s="3">
        <v>-12.27</v>
      </c>
      <c r="S54" s="3">
        <v>9.2100000000000009</v>
      </c>
      <c r="U54">
        <f>'Sand.panel_t-1,0'!J$28</f>
        <v>2009.7</v>
      </c>
    </row>
    <row r="57" spans="3:27" ht="18" x14ac:dyDescent="0.35">
      <c r="C57" s="41" t="s">
        <v>151</v>
      </c>
      <c r="D57" s="2">
        <f>'Sand.panel_t-1,0'!H35</f>
        <v>5</v>
      </c>
      <c r="E57" t="s">
        <v>113</v>
      </c>
      <c r="H57" s="78"/>
      <c r="I57" s="80"/>
      <c r="L57" s="41" t="s">
        <v>151</v>
      </c>
      <c r="T57" s="41" t="s">
        <v>151</v>
      </c>
    </row>
    <row r="58" spans="3:27" x14ac:dyDescent="0.25">
      <c r="C58" s="44"/>
      <c r="D58" s="2"/>
    </row>
    <row r="59" spans="3:27" x14ac:dyDescent="0.25">
      <c r="E59" t="s">
        <v>2</v>
      </c>
      <c r="F59" s="77" t="s">
        <v>202</v>
      </c>
      <c r="I59" s="77" t="s">
        <v>203</v>
      </c>
      <c r="K59" s="69"/>
      <c r="M59" t="s">
        <v>3</v>
      </c>
      <c r="N59" s="77" t="s">
        <v>202</v>
      </c>
      <c r="Q59" s="77" t="s">
        <v>203</v>
      </c>
      <c r="S59" s="44"/>
      <c r="U59" t="s">
        <v>147</v>
      </c>
      <c r="V59" s="6" t="s">
        <v>202</v>
      </c>
      <c r="Y59" s="6" t="s">
        <v>203</v>
      </c>
      <c r="AA59" s="44"/>
    </row>
    <row r="60" spans="3:27" ht="18" x14ac:dyDescent="0.35">
      <c r="E60" s="1"/>
      <c r="F60" s="78" t="s">
        <v>212</v>
      </c>
      <c r="G60" s="74"/>
      <c r="H60" s="78" t="s">
        <v>201</v>
      </c>
      <c r="I60" s="78" t="s">
        <v>212</v>
      </c>
      <c r="J60" s="74"/>
      <c r="K60" s="78" t="s">
        <v>201</v>
      </c>
      <c r="M60" s="1" t="s">
        <v>114</v>
      </c>
      <c r="N60" s="78" t="s">
        <v>212</v>
      </c>
      <c r="O60" s="74"/>
      <c r="P60" s="78" t="s">
        <v>201</v>
      </c>
      <c r="Q60" s="78" t="s">
        <v>212</v>
      </c>
      <c r="R60" s="74"/>
      <c r="S60" s="62" t="s">
        <v>201</v>
      </c>
      <c r="U60" s="1" t="s">
        <v>114</v>
      </c>
      <c r="V60" s="62" t="s">
        <v>212</v>
      </c>
      <c r="W60" s="74"/>
      <c r="X60" s="62" t="s">
        <v>201</v>
      </c>
      <c r="Y60" s="62" t="s">
        <v>212</v>
      </c>
      <c r="Z60" s="74"/>
      <c r="AA60" s="62" t="s">
        <v>201</v>
      </c>
    </row>
    <row r="61" spans="3:27" x14ac:dyDescent="0.25">
      <c r="E61" s="1" t="s">
        <v>211</v>
      </c>
      <c r="F61" s="78" t="s">
        <v>254</v>
      </c>
      <c r="G61" s="74" t="s">
        <v>256</v>
      </c>
      <c r="H61" s="78" t="s">
        <v>255</v>
      </c>
      <c r="I61" s="78" t="s">
        <v>254</v>
      </c>
      <c r="J61" s="74" t="s">
        <v>256</v>
      </c>
      <c r="K61" s="78" t="s">
        <v>255</v>
      </c>
      <c r="M61" s="1"/>
      <c r="N61" s="78" t="s">
        <v>254</v>
      </c>
      <c r="O61" s="74" t="s">
        <v>256</v>
      </c>
      <c r="P61" s="78" t="s">
        <v>255</v>
      </c>
      <c r="Q61" s="78" t="s">
        <v>254</v>
      </c>
      <c r="R61" s="74" t="s">
        <v>256</v>
      </c>
      <c r="S61" s="62" t="s">
        <v>255</v>
      </c>
      <c r="U61" s="1"/>
      <c r="V61" s="62" t="s">
        <v>254</v>
      </c>
      <c r="W61" s="74" t="s">
        <v>256</v>
      </c>
      <c r="X61" s="62" t="s">
        <v>255</v>
      </c>
      <c r="Y61" s="62" t="s">
        <v>254</v>
      </c>
      <c r="Z61" s="74" t="s">
        <v>256</v>
      </c>
      <c r="AA61" s="62" t="s">
        <v>255</v>
      </c>
    </row>
    <row r="62" spans="3:27" ht="18" x14ac:dyDescent="0.35">
      <c r="D62" t="s">
        <v>13</v>
      </c>
      <c r="E62">
        <f>'Sand.panel_t-1,0'!H$14</f>
        <v>308</v>
      </c>
      <c r="F62" s="3">
        <v>-0.26</v>
      </c>
      <c r="H62" s="3">
        <v>0.36</v>
      </c>
      <c r="I62" s="3">
        <v>-0.35</v>
      </c>
      <c r="K62" s="69">
        <v>0.24</v>
      </c>
      <c r="M62">
        <f>'Sand.panel_t-1,0'!I$14</f>
        <v>300</v>
      </c>
      <c r="N62" s="3">
        <v>-0.26</v>
      </c>
      <c r="P62" s="3">
        <v>0.37</v>
      </c>
      <c r="Q62" s="3">
        <v>-0.36</v>
      </c>
      <c r="S62">
        <v>0.25</v>
      </c>
      <c r="U62">
        <f>'Sand.panel_t-1,0'!J$14</f>
        <v>313.2</v>
      </c>
    </row>
    <row r="63" spans="3:27" ht="18" x14ac:dyDescent="0.35">
      <c r="D63" t="s">
        <v>204</v>
      </c>
      <c r="E63">
        <f>'Sand.panel_t-1,0'!H$16</f>
        <v>594</v>
      </c>
      <c r="F63" s="3">
        <v>-0.83</v>
      </c>
      <c r="G63" s="72" t="s">
        <v>272</v>
      </c>
      <c r="H63" s="3">
        <v>1.1399999999999999</v>
      </c>
      <c r="I63" s="3">
        <v>-1.1399999999999999</v>
      </c>
      <c r="J63" s="72" t="s">
        <v>270</v>
      </c>
      <c r="K63" s="3">
        <v>0.81</v>
      </c>
      <c r="M63">
        <f>'Sand.panel_t-1,0'!I$16</f>
        <v>600</v>
      </c>
      <c r="N63" s="3">
        <v>-0.92</v>
      </c>
      <c r="P63" s="3">
        <v>1.23</v>
      </c>
      <c r="Q63" s="3">
        <v>-1.22</v>
      </c>
      <c r="S63">
        <v>0.88</v>
      </c>
      <c r="U63">
        <f>'Sand.panel_t-1,0'!J$16</f>
        <v>600.29999999999995</v>
      </c>
    </row>
    <row r="64" spans="3:27" ht="18" x14ac:dyDescent="0.35">
      <c r="D64" t="s">
        <v>205</v>
      </c>
      <c r="E64">
        <f>'Sand.panel_t-1,0'!H$18</f>
        <v>814</v>
      </c>
      <c r="F64" s="3">
        <v>-1.49</v>
      </c>
      <c r="H64" s="3">
        <v>2.0699999999999998</v>
      </c>
      <c r="I64" s="3">
        <v>-2.0699999999999998</v>
      </c>
      <c r="K64" s="3">
        <v>1.47</v>
      </c>
      <c r="M64">
        <f>'Sand.panel_t-1,0'!I$18</f>
        <v>810</v>
      </c>
      <c r="N64" s="3">
        <v>-1.59</v>
      </c>
      <c r="P64" s="3">
        <v>2.11</v>
      </c>
      <c r="Q64" s="3">
        <v>-2.1</v>
      </c>
      <c r="S64" s="3">
        <v>1.55</v>
      </c>
      <c r="U64">
        <f>'Sand.panel_t-1,0'!J$18</f>
        <v>809.1</v>
      </c>
    </row>
    <row r="65" spans="2:21" ht="18" x14ac:dyDescent="0.35">
      <c r="D65" t="s">
        <v>206</v>
      </c>
      <c r="E65">
        <f>'Sand.panel_t-1,0'!H$20</f>
        <v>990</v>
      </c>
      <c r="F65" s="3">
        <v>-2.16</v>
      </c>
      <c r="H65" s="3">
        <v>3.03</v>
      </c>
      <c r="I65" s="3">
        <v>-3.03</v>
      </c>
      <c r="K65" s="3">
        <v>2.15</v>
      </c>
      <c r="M65">
        <f>'Sand.panel_t-1,0'!I$20</f>
        <v>990</v>
      </c>
      <c r="N65" s="3">
        <v>-2.31</v>
      </c>
      <c r="P65" s="3">
        <v>3.08</v>
      </c>
      <c r="Q65" s="3">
        <v>-3.08</v>
      </c>
      <c r="S65" s="3">
        <v>2.27</v>
      </c>
      <c r="U65">
        <f>'Sand.panel_t-1,0'!J$20</f>
        <v>991.8</v>
      </c>
    </row>
    <row r="66" spans="2:21" ht="18" x14ac:dyDescent="0.35">
      <c r="D66" t="s">
        <v>207</v>
      </c>
      <c r="E66">
        <f>'Sand.panel_t-1,0'!H$22</f>
        <v>1232</v>
      </c>
      <c r="F66" s="3">
        <v>-3.37</v>
      </c>
      <c r="H66" s="3">
        <v>4.6500000000000004</v>
      </c>
      <c r="I66" s="3">
        <v>-4.6500000000000004</v>
      </c>
      <c r="K66" s="3">
        <v>3.37</v>
      </c>
      <c r="M66">
        <f>'Sand.panel_t-1,0'!I$22</f>
        <v>1230</v>
      </c>
      <c r="N66" s="3">
        <v>-3.48</v>
      </c>
      <c r="P66" s="3">
        <v>4.6900000000000004</v>
      </c>
      <c r="Q66" s="3">
        <v>-4.68</v>
      </c>
      <c r="S66" s="3">
        <v>3.44</v>
      </c>
      <c r="U66">
        <f>'Sand.panel_t-1,0'!J$22</f>
        <v>1226.7</v>
      </c>
    </row>
    <row r="67" spans="2:21" ht="18" x14ac:dyDescent="0.35">
      <c r="D67" t="s">
        <v>208</v>
      </c>
      <c r="E67">
        <f>'Sand.panel_t-1,0'!H$24</f>
        <v>1540</v>
      </c>
      <c r="F67" s="3">
        <v>-5.19</v>
      </c>
      <c r="H67" s="3">
        <v>7.22</v>
      </c>
      <c r="I67" s="3">
        <v>-7.21</v>
      </c>
      <c r="K67" s="3">
        <v>5.2</v>
      </c>
      <c r="M67">
        <f>'Sand.panel_t-1,0'!I$24</f>
        <v>1530</v>
      </c>
      <c r="N67" s="3">
        <v>-5.39</v>
      </c>
      <c r="P67" s="3">
        <v>7.18</v>
      </c>
      <c r="Q67" s="3">
        <v>-7.17</v>
      </c>
      <c r="S67" s="3">
        <v>5.39</v>
      </c>
      <c r="U67">
        <f>'Sand.panel_t-1,0'!J$24</f>
        <v>1539.9</v>
      </c>
    </row>
    <row r="68" spans="2:21" ht="18" x14ac:dyDescent="0.35">
      <c r="D68" t="s">
        <v>209</v>
      </c>
      <c r="E68">
        <f>'Sand.panel_t-1,0'!H$26</f>
        <v>1804</v>
      </c>
      <c r="F68" s="3">
        <v>-7.12</v>
      </c>
      <c r="G68" s="72" t="s">
        <v>280</v>
      </c>
      <c r="H68" s="3">
        <v>9.8699999999999992</v>
      </c>
      <c r="I68" s="3">
        <v>-9.86</v>
      </c>
      <c r="K68" s="3">
        <v>7.09</v>
      </c>
      <c r="M68">
        <f>'Sand.panel_t-1,0'!I$26</f>
        <v>1800</v>
      </c>
      <c r="N68" s="3">
        <v>-7.36</v>
      </c>
      <c r="P68" s="3">
        <v>9.8800000000000008</v>
      </c>
      <c r="Q68" s="3">
        <v>-9.8699999999999992</v>
      </c>
      <c r="S68" s="3">
        <v>7.37</v>
      </c>
      <c r="U68">
        <f>'Sand.panel_t-1,0'!J$26</f>
        <v>1800.9</v>
      </c>
    </row>
    <row r="69" spans="2:21" ht="18" x14ac:dyDescent="0.35">
      <c r="D69" t="s">
        <v>210</v>
      </c>
      <c r="E69">
        <f>'Sand.panel_t-1,0'!H$28</f>
        <v>2002</v>
      </c>
      <c r="F69" s="3">
        <v>-8.8000000000000007</v>
      </c>
      <c r="H69" s="3">
        <v>12.13</v>
      </c>
      <c r="I69" s="3">
        <v>-12.12</v>
      </c>
      <c r="K69" s="3">
        <v>8.76</v>
      </c>
      <c r="M69">
        <f>'Sand.panel_t-1,0'!I$28</f>
        <v>2010</v>
      </c>
      <c r="N69" s="3">
        <v>-9.11</v>
      </c>
      <c r="P69" s="3">
        <v>12.28</v>
      </c>
      <c r="Q69" s="3">
        <v>-12.27</v>
      </c>
      <c r="S69" s="3">
        <v>9.1300000000000008</v>
      </c>
      <c r="U69">
        <f>'Sand.panel_t-1,0'!J$28</f>
        <v>2009.7</v>
      </c>
    </row>
    <row r="71" spans="2:21" x14ac:dyDescent="0.25">
      <c r="B71" t="s">
        <v>290</v>
      </c>
      <c r="M71" t="s">
        <v>291</v>
      </c>
    </row>
    <row r="88" spans="2:27" ht="18.75" x14ac:dyDescent="0.3">
      <c r="B88" s="9" t="s">
        <v>219</v>
      </c>
      <c r="C88" s="9"/>
      <c r="D88" s="9"/>
    </row>
    <row r="90" spans="2:27" ht="18" x14ac:dyDescent="0.35">
      <c r="C90" s="40" t="s">
        <v>22</v>
      </c>
      <c r="D90" s="2">
        <f>'Sand.panel_t-1,0'!H36</f>
        <v>1</v>
      </c>
      <c r="E90" t="s">
        <v>113</v>
      </c>
      <c r="H90" s="3" t="s">
        <v>213</v>
      </c>
      <c r="I90" s="63" t="s">
        <v>214</v>
      </c>
      <c r="J90" s="75"/>
    </row>
    <row r="91" spans="2:27" ht="18" x14ac:dyDescent="0.35">
      <c r="C91" s="41" t="s">
        <v>101</v>
      </c>
      <c r="D91" s="2">
        <f>'Sand.panel_t-1,0'!H32</f>
        <v>3</v>
      </c>
      <c r="E91" t="s">
        <v>113</v>
      </c>
      <c r="I91" s="79" t="s">
        <v>215</v>
      </c>
      <c r="J91" s="76"/>
      <c r="L91" s="41" t="s">
        <v>101</v>
      </c>
      <c r="T91" s="41" t="s">
        <v>101</v>
      </c>
    </row>
    <row r="92" spans="2:27" x14ac:dyDescent="0.25">
      <c r="C92" s="44"/>
      <c r="D92" s="2"/>
    </row>
    <row r="93" spans="2:27" x14ac:dyDescent="0.25">
      <c r="E93" t="s">
        <v>2</v>
      </c>
      <c r="F93" s="77" t="s">
        <v>202</v>
      </c>
      <c r="I93" s="77" t="s">
        <v>203</v>
      </c>
      <c r="K93" s="69"/>
      <c r="M93" t="s">
        <v>3</v>
      </c>
      <c r="N93" s="77" t="s">
        <v>202</v>
      </c>
      <c r="Q93" s="77" t="s">
        <v>203</v>
      </c>
      <c r="S93" s="44"/>
      <c r="U93" t="s">
        <v>147</v>
      </c>
      <c r="V93" s="6" t="s">
        <v>202</v>
      </c>
      <c r="Y93" s="6" t="s">
        <v>203</v>
      </c>
      <c r="AA93" s="44"/>
    </row>
    <row r="94" spans="2:27" ht="18" x14ac:dyDescent="0.35">
      <c r="E94" s="1"/>
      <c r="F94" s="78" t="s">
        <v>212</v>
      </c>
      <c r="G94" s="74"/>
      <c r="H94" s="78" t="s">
        <v>201</v>
      </c>
      <c r="I94" s="78" t="s">
        <v>212</v>
      </c>
      <c r="J94" s="74"/>
      <c r="K94" s="78" t="s">
        <v>201</v>
      </c>
      <c r="M94" s="1" t="s">
        <v>114</v>
      </c>
      <c r="N94" s="78" t="s">
        <v>212</v>
      </c>
      <c r="O94" s="74"/>
      <c r="P94" s="78" t="s">
        <v>201</v>
      </c>
      <c r="Q94" s="78" t="s">
        <v>212</v>
      </c>
      <c r="R94" s="74"/>
      <c r="S94" s="62" t="s">
        <v>201</v>
      </c>
      <c r="U94" s="1" t="s">
        <v>114</v>
      </c>
      <c r="V94" s="62" t="s">
        <v>212</v>
      </c>
      <c r="W94" s="74"/>
      <c r="X94" s="62" t="s">
        <v>201</v>
      </c>
      <c r="Y94" s="62" t="s">
        <v>212</v>
      </c>
      <c r="Z94" s="74"/>
      <c r="AA94" s="62" t="s">
        <v>201</v>
      </c>
    </row>
    <row r="95" spans="2:27" x14ac:dyDescent="0.25">
      <c r="E95" s="1" t="s">
        <v>211</v>
      </c>
      <c r="F95" s="78" t="s">
        <v>254</v>
      </c>
      <c r="G95" s="74" t="s">
        <v>256</v>
      </c>
      <c r="H95" s="78" t="s">
        <v>255</v>
      </c>
      <c r="I95" s="78" t="s">
        <v>254</v>
      </c>
      <c r="J95" s="74" t="s">
        <v>256</v>
      </c>
      <c r="K95" s="78" t="s">
        <v>255</v>
      </c>
      <c r="M95" s="1"/>
      <c r="N95" s="78" t="s">
        <v>254</v>
      </c>
      <c r="O95" s="74" t="s">
        <v>256</v>
      </c>
      <c r="P95" s="78" t="s">
        <v>255</v>
      </c>
      <c r="Q95" s="78" t="s">
        <v>254</v>
      </c>
      <c r="R95" s="74" t="s">
        <v>256</v>
      </c>
      <c r="S95" s="62" t="s">
        <v>255</v>
      </c>
      <c r="U95" s="1"/>
      <c r="V95" s="62" t="s">
        <v>254</v>
      </c>
      <c r="W95" s="74" t="s">
        <v>256</v>
      </c>
      <c r="X95" s="62" t="s">
        <v>255</v>
      </c>
      <c r="Y95" s="62" t="s">
        <v>254</v>
      </c>
      <c r="Z95" s="74" t="s">
        <v>256</v>
      </c>
      <c r="AA95" s="62" t="s">
        <v>255</v>
      </c>
    </row>
    <row r="96" spans="2:27" ht="18" x14ac:dyDescent="0.35">
      <c r="D96" t="s">
        <v>13</v>
      </c>
      <c r="E96">
        <f>'Sand.panel_t-1,0'!H$14</f>
        <v>308</v>
      </c>
      <c r="F96" s="3">
        <v>-0.2</v>
      </c>
      <c r="G96" s="72" t="s">
        <v>260</v>
      </c>
      <c r="H96" s="3">
        <v>0.3</v>
      </c>
      <c r="I96" s="3">
        <v>-0.28999999999999998</v>
      </c>
      <c r="J96" s="72" t="s">
        <v>261</v>
      </c>
      <c r="K96" s="69">
        <v>0.2</v>
      </c>
      <c r="M96">
        <f>'Sand.panel_t-1,0'!I$14</f>
        <v>300</v>
      </c>
      <c r="N96" s="3">
        <v>-0.21</v>
      </c>
      <c r="P96" s="3">
        <v>0.28000000000000003</v>
      </c>
      <c r="Q96" s="3">
        <v>-0.27</v>
      </c>
      <c r="S96">
        <v>0.21</v>
      </c>
      <c r="U96">
        <f>'Sand.panel_t-1,0'!J$14</f>
        <v>313.2</v>
      </c>
    </row>
    <row r="97" spans="3:27" ht="18" x14ac:dyDescent="0.35">
      <c r="D97" t="s">
        <v>204</v>
      </c>
      <c r="E97">
        <f>'Sand.panel_t-1,0'!H$16</f>
        <v>594</v>
      </c>
      <c r="F97" s="3">
        <v>-0.73</v>
      </c>
      <c r="G97" s="72" t="s">
        <v>266</v>
      </c>
      <c r="H97" s="3">
        <v>1.08</v>
      </c>
      <c r="I97" s="3">
        <v>-1.08</v>
      </c>
      <c r="J97" s="72" t="s">
        <v>268</v>
      </c>
      <c r="K97" s="3">
        <v>0.67</v>
      </c>
      <c r="M97">
        <f>'Sand.panel_t-1,0'!I$16</f>
        <v>600</v>
      </c>
      <c r="N97" s="3">
        <v>-0.77</v>
      </c>
      <c r="P97" s="3">
        <v>1.1000000000000001</v>
      </c>
      <c r="Q97" s="3">
        <v>-1.1000000000000001</v>
      </c>
      <c r="S97">
        <v>0.78</v>
      </c>
      <c r="U97">
        <f>'Sand.panel_t-1,0'!J$16</f>
        <v>600.29999999999995</v>
      </c>
    </row>
    <row r="98" spans="3:27" ht="18" x14ac:dyDescent="0.35">
      <c r="D98" t="s">
        <v>205</v>
      </c>
      <c r="E98">
        <f>'Sand.panel_t-1,0'!H$18</f>
        <v>814</v>
      </c>
      <c r="F98" s="3">
        <v>-1.4</v>
      </c>
      <c r="H98" s="3">
        <v>2.02</v>
      </c>
      <c r="I98" s="3">
        <v>-2.02</v>
      </c>
      <c r="K98" s="3">
        <v>1.35</v>
      </c>
      <c r="M98">
        <f>'Sand.panel_t-1,0'!I$18</f>
        <v>810</v>
      </c>
      <c r="N98" s="3">
        <v>-1.41</v>
      </c>
      <c r="P98" s="3">
        <v>2</v>
      </c>
      <c r="Q98" s="3">
        <v>-1.99</v>
      </c>
      <c r="S98">
        <v>1.36</v>
      </c>
      <c r="U98">
        <f>'Sand.panel_t-1,0'!J$18</f>
        <v>809.1</v>
      </c>
    </row>
    <row r="99" spans="3:27" ht="18" x14ac:dyDescent="0.35">
      <c r="D99" t="s">
        <v>206</v>
      </c>
      <c r="E99">
        <f>'Sand.panel_t-1,0'!H$20</f>
        <v>990</v>
      </c>
      <c r="F99" s="3">
        <v>-2.09</v>
      </c>
      <c r="H99" s="3">
        <v>2.97</v>
      </c>
      <c r="I99" s="3">
        <v>-2.97</v>
      </c>
      <c r="K99" s="3">
        <v>2.0299999999999998</v>
      </c>
      <c r="M99">
        <f>'Sand.panel_t-1,0'!I$20</f>
        <v>990</v>
      </c>
      <c r="N99" s="3">
        <v>-2.13</v>
      </c>
      <c r="P99" s="3">
        <v>2.98</v>
      </c>
      <c r="Q99" s="3">
        <v>-2.97</v>
      </c>
      <c r="S99" s="3">
        <v>2.04</v>
      </c>
      <c r="U99">
        <f>'Sand.panel_t-1,0'!J$20</f>
        <v>991.8</v>
      </c>
    </row>
    <row r="100" spans="3:27" ht="18" x14ac:dyDescent="0.35">
      <c r="D100" t="s">
        <v>207</v>
      </c>
      <c r="E100">
        <f>'Sand.panel_t-1,0'!H$22</f>
        <v>1232</v>
      </c>
      <c r="F100" s="3">
        <v>-3.29</v>
      </c>
      <c r="H100" s="3">
        <v>4.5999999999999996</v>
      </c>
      <c r="I100" s="3">
        <v>-4.59</v>
      </c>
      <c r="K100" s="3">
        <v>3.23</v>
      </c>
      <c r="M100">
        <f>'Sand.panel_t-1,0'!I$22</f>
        <v>1230</v>
      </c>
      <c r="N100" s="3">
        <v>-3.32</v>
      </c>
      <c r="P100" s="3">
        <v>4.58</v>
      </c>
      <c r="Q100" s="3">
        <v>-4.58</v>
      </c>
      <c r="S100" s="3">
        <v>3.21</v>
      </c>
      <c r="U100">
        <f>'Sand.panel_t-1,0'!J$22</f>
        <v>1226.7</v>
      </c>
    </row>
    <row r="101" spans="3:27" ht="18" x14ac:dyDescent="0.35">
      <c r="D101" t="s">
        <v>208</v>
      </c>
      <c r="E101">
        <f>'Sand.panel_t-1,0'!H$24</f>
        <v>1540</v>
      </c>
      <c r="F101" s="3">
        <v>-5.16</v>
      </c>
      <c r="H101" s="3">
        <v>7.16</v>
      </c>
      <c r="I101" s="3">
        <v>-7.16</v>
      </c>
      <c r="K101" s="3">
        <v>5.12</v>
      </c>
      <c r="M101">
        <f>'Sand.panel_t-1,0'!I$24</f>
        <v>1530</v>
      </c>
      <c r="N101" s="3">
        <v>-5.23</v>
      </c>
      <c r="P101" s="3">
        <v>7.07</v>
      </c>
      <c r="Q101" s="3">
        <v>-7.07</v>
      </c>
      <c r="S101" s="3">
        <v>5.12</v>
      </c>
      <c r="U101">
        <f>'Sand.panel_t-1,0'!J$24</f>
        <v>1539.9</v>
      </c>
    </row>
    <row r="102" spans="3:27" ht="18" x14ac:dyDescent="0.35">
      <c r="D102" t="s">
        <v>209</v>
      </c>
      <c r="E102">
        <f>'Sand.panel_t-1,0'!H$26</f>
        <v>1804</v>
      </c>
      <c r="F102" s="3">
        <v>-7.1</v>
      </c>
      <c r="H102" s="3">
        <v>9.81</v>
      </c>
      <c r="I102" s="3">
        <v>-9.81</v>
      </c>
      <c r="K102" s="3">
        <v>7.06</v>
      </c>
      <c r="M102">
        <f>'Sand.panel_t-1,0'!I$26</f>
        <v>1800</v>
      </c>
      <c r="N102" s="3">
        <v>-7.25</v>
      </c>
      <c r="P102" s="3">
        <v>9.77</v>
      </c>
      <c r="Q102" s="3">
        <v>-9.76</v>
      </c>
      <c r="S102" s="3">
        <v>7.13</v>
      </c>
      <c r="U102">
        <f>'Sand.panel_t-1,0'!J$26</f>
        <v>1800.9</v>
      </c>
    </row>
    <row r="103" spans="3:27" ht="18" x14ac:dyDescent="0.35">
      <c r="D103" t="s">
        <v>210</v>
      </c>
      <c r="E103">
        <f>'Sand.panel_t-1,0'!H$28</f>
        <v>2002</v>
      </c>
      <c r="F103" s="3">
        <v>-8.76</v>
      </c>
      <c r="H103" s="3">
        <v>12.07</v>
      </c>
      <c r="I103" s="3">
        <v>-12.07</v>
      </c>
      <c r="K103" s="3">
        <v>8.7200000000000006</v>
      </c>
      <c r="M103">
        <f>'Sand.panel_t-1,0'!I$28</f>
        <v>2010</v>
      </c>
      <c r="N103" s="3">
        <v>-9.0500000000000007</v>
      </c>
      <c r="P103" s="3">
        <v>12.17</v>
      </c>
      <c r="Q103" s="3">
        <v>-12.17</v>
      </c>
      <c r="S103" s="3">
        <v>8.92</v>
      </c>
      <c r="U103">
        <f>'Sand.panel_t-1,0'!J$28</f>
        <v>2009.7</v>
      </c>
    </row>
    <row r="105" spans="3:27" x14ac:dyDescent="0.25">
      <c r="K105" s="69"/>
    </row>
    <row r="106" spans="3:27" ht="18" x14ac:dyDescent="0.35">
      <c r="C106" s="41" t="s">
        <v>102</v>
      </c>
      <c r="D106" s="2">
        <f>'Sand.panel_t-1,0'!H33</f>
        <v>3.5</v>
      </c>
      <c r="E106" t="s">
        <v>113</v>
      </c>
      <c r="H106" s="78"/>
      <c r="I106" s="80"/>
      <c r="L106" s="41" t="s">
        <v>102</v>
      </c>
      <c r="T106" s="41" t="s">
        <v>102</v>
      </c>
    </row>
    <row r="107" spans="3:27" x14ac:dyDescent="0.25">
      <c r="C107" s="44"/>
      <c r="D107" s="2"/>
    </row>
    <row r="108" spans="3:27" x14ac:dyDescent="0.25">
      <c r="E108" t="s">
        <v>2</v>
      </c>
      <c r="F108" s="77" t="s">
        <v>202</v>
      </c>
      <c r="I108" s="77" t="s">
        <v>203</v>
      </c>
      <c r="K108" s="69"/>
      <c r="M108" t="s">
        <v>3</v>
      </c>
      <c r="N108" s="77" t="s">
        <v>202</v>
      </c>
      <c r="Q108" s="77" t="s">
        <v>203</v>
      </c>
      <c r="S108" s="44"/>
      <c r="U108" t="s">
        <v>147</v>
      </c>
      <c r="V108" s="6" t="s">
        <v>202</v>
      </c>
      <c r="Y108" s="6" t="s">
        <v>203</v>
      </c>
      <c r="AA108" s="44"/>
    </row>
    <row r="109" spans="3:27" ht="18" x14ac:dyDescent="0.35">
      <c r="E109" s="1"/>
      <c r="F109" s="78" t="s">
        <v>212</v>
      </c>
      <c r="G109" s="74"/>
      <c r="H109" s="78" t="s">
        <v>201</v>
      </c>
      <c r="I109" s="78" t="s">
        <v>212</v>
      </c>
      <c r="J109" s="74"/>
      <c r="K109" s="78" t="s">
        <v>201</v>
      </c>
      <c r="M109" s="1" t="s">
        <v>114</v>
      </c>
      <c r="N109" s="78" t="s">
        <v>212</v>
      </c>
      <c r="O109" s="74"/>
      <c r="P109" s="78" t="s">
        <v>201</v>
      </c>
      <c r="Q109" s="78" t="s">
        <v>212</v>
      </c>
      <c r="R109" s="74"/>
      <c r="S109" s="62" t="s">
        <v>201</v>
      </c>
      <c r="U109" s="1" t="s">
        <v>114</v>
      </c>
      <c r="V109" s="62" t="s">
        <v>212</v>
      </c>
      <c r="W109" s="74"/>
      <c r="X109" s="62" t="s">
        <v>201</v>
      </c>
      <c r="Y109" s="62" t="s">
        <v>212</v>
      </c>
      <c r="Z109" s="74"/>
      <c r="AA109" s="62" t="s">
        <v>201</v>
      </c>
    </row>
    <row r="110" spans="3:27" x14ac:dyDescent="0.25">
      <c r="E110" s="1" t="s">
        <v>211</v>
      </c>
      <c r="F110" s="78" t="s">
        <v>254</v>
      </c>
      <c r="G110" s="74" t="s">
        <v>256</v>
      </c>
      <c r="H110" s="78" t="s">
        <v>255</v>
      </c>
      <c r="I110" s="78" t="s">
        <v>254</v>
      </c>
      <c r="J110" s="74" t="s">
        <v>256</v>
      </c>
      <c r="K110" s="78" t="s">
        <v>255</v>
      </c>
      <c r="M110" s="1"/>
      <c r="N110" s="78" t="s">
        <v>254</v>
      </c>
      <c r="O110" s="74" t="s">
        <v>256</v>
      </c>
      <c r="P110" s="78" t="s">
        <v>255</v>
      </c>
      <c r="Q110" s="78" t="s">
        <v>254</v>
      </c>
      <c r="R110" s="74" t="s">
        <v>256</v>
      </c>
      <c r="S110" s="62" t="s">
        <v>255</v>
      </c>
      <c r="U110" s="1"/>
      <c r="V110" s="62" t="s">
        <v>254</v>
      </c>
      <c r="W110" s="74" t="s">
        <v>256</v>
      </c>
      <c r="X110" s="62" t="s">
        <v>255</v>
      </c>
      <c r="Y110" s="62" t="s">
        <v>254</v>
      </c>
      <c r="Z110" s="74" t="s">
        <v>256</v>
      </c>
      <c r="AA110" s="62" t="s">
        <v>255</v>
      </c>
    </row>
    <row r="111" spans="3:27" ht="18" x14ac:dyDescent="0.35">
      <c r="D111" t="s">
        <v>13</v>
      </c>
      <c r="E111">
        <f>'Sand.panel_t-1,0'!H$14</f>
        <v>308</v>
      </c>
      <c r="F111" s="3">
        <v>-0.2</v>
      </c>
      <c r="G111" s="72" t="s">
        <v>262</v>
      </c>
      <c r="H111" s="3">
        <v>0.3</v>
      </c>
      <c r="I111" s="3">
        <v>-0.28999999999999998</v>
      </c>
      <c r="J111" s="72" t="s">
        <v>264</v>
      </c>
      <c r="K111" s="69">
        <v>0.2</v>
      </c>
      <c r="M111">
        <f>'Sand.panel_t-1,0'!I$14</f>
        <v>300</v>
      </c>
      <c r="N111" s="3">
        <v>-0.22</v>
      </c>
      <c r="P111" s="3">
        <v>0.28000000000000003</v>
      </c>
      <c r="Q111" s="3">
        <v>-0.27</v>
      </c>
      <c r="S111">
        <v>0.22</v>
      </c>
      <c r="U111">
        <f>'Sand.panel_t-1,0'!J$14</f>
        <v>313.2</v>
      </c>
    </row>
    <row r="112" spans="3:27" ht="18" x14ac:dyDescent="0.35">
      <c r="D112" t="s">
        <v>204</v>
      </c>
      <c r="E112">
        <f>'Sand.panel_t-1,0'!H$16</f>
        <v>594</v>
      </c>
      <c r="F112" s="3">
        <v>-0.72</v>
      </c>
      <c r="G112" s="72" t="s">
        <v>266</v>
      </c>
      <c r="H112" s="3">
        <v>1.08</v>
      </c>
      <c r="I112" s="3">
        <v>-1.08</v>
      </c>
      <c r="J112" s="72" t="s">
        <v>268</v>
      </c>
      <c r="K112" s="3">
        <v>0.68</v>
      </c>
      <c r="M112">
        <f>'Sand.panel_t-1,0'!I$16</f>
        <v>600</v>
      </c>
      <c r="N112" s="3">
        <v>-0.77</v>
      </c>
      <c r="P112" s="3">
        <v>1.1000000000000001</v>
      </c>
      <c r="Q112" s="3">
        <v>-1.1000000000000001</v>
      </c>
      <c r="S112">
        <v>0.78</v>
      </c>
      <c r="U112">
        <f>'Sand.panel_t-1,0'!J$16</f>
        <v>600.29999999999995</v>
      </c>
    </row>
    <row r="113" spans="3:27" ht="18" x14ac:dyDescent="0.35">
      <c r="D113" t="s">
        <v>205</v>
      </c>
      <c r="E113">
        <f>'Sand.panel_t-1,0'!H$18</f>
        <v>814</v>
      </c>
      <c r="F113" s="3">
        <v>-1.38</v>
      </c>
      <c r="H113" s="3">
        <v>2.02</v>
      </c>
      <c r="I113" s="3">
        <v>-2.02</v>
      </c>
      <c r="K113" s="3">
        <v>1.34</v>
      </c>
      <c r="M113">
        <f>'Sand.panel_t-1,0'!I$18</f>
        <v>810</v>
      </c>
      <c r="N113" s="3">
        <v>-1.4</v>
      </c>
      <c r="P113" s="3">
        <v>2</v>
      </c>
      <c r="Q113" s="3">
        <v>-1.99</v>
      </c>
      <c r="S113" s="3">
        <v>1.36</v>
      </c>
      <c r="U113">
        <f>'Sand.panel_t-1,0'!J$18</f>
        <v>809.1</v>
      </c>
    </row>
    <row r="114" spans="3:27" ht="18" x14ac:dyDescent="0.35">
      <c r="D114" t="s">
        <v>206</v>
      </c>
      <c r="E114">
        <f>'Sand.panel_t-1,0'!H$20</f>
        <v>990</v>
      </c>
      <c r="F114" s="3">
        <v>-2.06</v>
      </c>
      <c r="H114" s="3">
        <v>2.97</v>
      </c>
      <c r="I114" s="3">
        <v>-2.97</v>
      </c>
      <c r="K114" s="3">
        <v>2.0099999999999998</v>
      </c>
      <c r="M114">
        <f>'Sand.panel_t-1,0'!I$20</f>
        <v>990</v>
      </c>
      <c r="N114" s="3">
        <v>-2.12</v>
      </c>
      <c r="P114" s="3">
        <v>2.98</v>
      </c>
      <c r="Q114" s="3">
        <v>-2.97</v>
      </c>
      <c r="S114" s="3">
        <v>2.0299999999999998</v>
      </c>
      <c r="U114">
        <f>'Sand.panel_t-1,0'!J$20</f>
        <v>991.8</v>
      </c>
    </row>
    <row r="115" spans="3:27" ht="18" x14ac:dyDescent="0.35">
      <c r="D115" t="s">
        <v>207</v>
      </c>
      <c r="E115">
        <f>'Sand.panel_t-1,0'!H$22</f>
        <v>1232</v>
      </c>
      <c r="F115" s="3">
        <v>-3.26</v>
      </c>
      <c r="H115" s="3">
        <v>4.59</v>
      </c>
      <c r="I115" s="3">
        <v>-4.59</v>
      </c>
      <c r="K115" s="3">
        <v>3.22</v>
      </c>
      <c r="M115">
        <f>'Sand.panel_t-1,0'!I$22</f>
        <v>1230</v>
      </c>
      <c r="N115" s="3">
        <v>-3.29</v>
      </c>
      <c r="P115" s="3">
        <v>4.58</v>
      </c>
      <c r="Q115" s="3">
        <v>-4.58</v>
      </c>
      <c r="S115" s="3">
        <v>3.2</v>
      </c>
      <c r="U115">
        <f>'Sand.panel_t-1,0'!J$22</f>
        <v>1226.7</v>
      </c>
    </row>
    <row r="116" spans="3:27" ht="18" x14ac:dyDescent="0.35">
      <c r="D116" t="s">
        <v>208</v>
      </c>
      <c r="E116">
        <f>'Sand.panel_t-1,0'!H$24</f>
        <v>1540</v>
      </c>
      <c r="F116" s="3">
        <v>-5.12</v>
      </c>
      <c r="H116" s="3">
        <v>7.16</v>
      </c>
      <c r="I116" s="3">
        <v>-7.16</v>
      </c>
      <c r="K116" s="3">
        <v>5.09</v>
      </c>
      <c r="M116">
        <f>'Sand.panel_t-1,0'!I$24</f>
        <v>1530</v>
      </c>
      <c r="N116" s="3">
        <v>-5.2</v>
      </c>
      <c r="P116" s="3">
        <v>7.07</v>
      </c>
      <c r="Q116" s="3">
        <v>-7.07</v>
      </c>
      <c r="S116" s="3">
        <v>5.1100000000000003</v>
      </c>
      <c r="U116">
        <f>'Sand.panel_t-1,0'!J$24</f>
        <v>1539.9</v>
      </c>
    </row>
    <row r="117" spans="3:27" ht="18" x14ac:dyDescent="0.35">
      <c r="D117" t="s">
        <v>209</v>
      </c>
      <c r="E117">
        <f>'Sand.panel_t-1,0'!H$26</f>
        <v>1804</v>
      </c>
      <c r="F117" s="3">
        <v>-7.05</v>
      </c>
      <c r="H117" s="3">
        <v>9.81</v>
      </c>
      <c r="I117" s="3">
        <v>-9.81</v>
      </c>
      <c r="K117" s="3">
        <v>7.01</v>
      </c>
      <c r="M117">
        <f>'Sand.panel_t-1,0'!I$26</f>
        <v>1800</v>
      </c>
      <c r="N117" s="3">
        <v>-7.2</v>
      </c>
      <c r="P117" s="3">
        <v>9.77</v>
      </c>
      <c r="Q117" s="3">
        <v>-9.76</v>
      </c>
      <c r="S117" s="3">
        <v>7.1</v>
      </c>
      <c r="U117">
        <f>'Sand.panel_t-1,0'!J$26</f>
        <v>1800.9</v>
      </c>
    </row>
    <row r="118" spans="3:27" ht="18" x14ac:dyDescent="0.35">
      <c r="D118" t="s">
        <v>210</v>
      </c>
      <c r="E118">
        <f>'Sand.panel_t-1,0'!H$28</f>
        <v>2002</v>
      </c>
      <c r="F118" s="3">
        <v>-8.69</v>
      </c>
      <c r="H118" s="3">
        <v>12.07</v>
      </c>
      <c r="I118" s="3">
        <v>-12.07</v>
      </c>
      <c r="K118" s="3">
        <v>8.66</v>
      </c>
      <c r="M118">
        <f>'Sand.panel_t-1,0'!I$28</f>
        <v>2010</v>
      </c>
      <c r="N118" s="3">
        <v>-8.98</v>
      </c>
      <c r="P118" s="3">
        <v>12.17</v>
      </c>
      <c r="Q118" s="3">
        <v>-12.17</v>
      </c>
      <c r="S118" s="3">
        <v>8.8800000000000008</v>
      </c>
      <c r="U118">
        <f>'Sand.panel_t-1,0'!J$28</f>
        <v>2009.7</v>
      </c>
    </row>
    <row r="121" spans="3:27" ht="18" x14ac:dyDescent="0.35">
      <c r="C121" s="41" t="s">
        <v>103</v>
      </c>
      <c r="D121" s="2">
        <f>'Sand.panel_t-1,0'!H34</f>
        <v>4</v>
      </c>
      <c r="E121" t="s">
        <v>113</v>
      </c>
      <c r="H121" s="78"/>
      <c r="I121" s="80"/>
      <c r="L121" s="41" t="s">
        <v>103</v>
      </c>
      <c r="T121" s="41" t="s">
        <v>103</v>
      </c>
    </row>
    <row r="122" spans="3:27" x14ac:dyDescent="0.25">
      <c r="C122" s="44"/>
      <c r="D122" s="2"/>
    </row>
    <row r="123" spans="3:27" x14ac:dyDescent="0.25">
      <c r="E123" t="s">
        <v>2</v>
      </c>
      <c r="F123" s="77" t="s">
        <v>202</v>
      </c>
      <c r="I123" s="77" t="s">
        <v>203</v>
      </c>
      <c r="K123" s="69"/>
      <c r="M123" t="s">
        <v>3</v>
      </c>
      <c r="N123" s="77" t="s">
        <v>202</v>
      </c>
      <c r="Q123" s="77" t="s">
        <v>203</v>
      </c>
      <c r="S123" s="44"/>
      <c r="U123" t="s">
        <v>147</v>
      </c>
      <c r="V123" s="6" t="s">
        <v>202</v>
      </c>
      <c r="Y123" s="6" t="s">
        <v>203</v>
      </c>
      <c r="AA123" s="44"/>
    </row>
    <row r="124" spans="3:27" ht="18" x14ac:dyDescent="0.35">
      <c r="E124" s="1"/>
      <c r="F124" s="78" t="s">
        <v>212</v>
      </c>
      <c r="G124" s="74"/>
      <c r="H124" s="78" t="s">
        <v>201</v>
      </c>
      <c r="I124" s="78" t="s">
        <v>212</v>
      </c>
      <c r="J124" s="74"/>
      <c r="K124" s="78" t="s">
        <v>201</v>
      </c>
      <c r="M124" s="1" t="s">
        <v>114</v>
      </c>
      <c r="N124" s="78" t="s">
        <v>212</v>
      </c>
      <c r="O124" s="74"/>
      <c r="P124" s="78" t="s">
        <v>201</v>
      </c>
      <c r="Q124" s="78" t="s">
        <v>212</v>
      </c>
      <c r="R124" s="74"/>
      <c r="S124" s="62" t="s">
        <v>201</v>
      </c>
      <c r="U124" s="1" t="s">
        <v>114</v>
      </c>
      <c r="V124" s="62" t="s">
        <v>212</v>
      </c>
      <c r="W124" s="74"/>
      <c r="X124" s="62" t="s">
        <v>201</v>
      </c>
      <c r="Y124" s="62" t="s">
        <v>212</v>
      </c>
      <c r="Z124" s="74"/>
      <c r="AA124" s="62" t="s">
        <v>201</v>
      </c>
    </row>
    <row r="125" spans="3:27" x14ac:dyDescent="0.25">
      <c r="E125" s="1" t="s">
        <v>211</v>
      </c>
      <c r="F125" s="78" t="s">
        <v>254</v>
      </c>
      <c r="G125" s="74" t="s">
        <v>256</v>
      </c>
      <c r="H125" s="78" t="s">
        <v>255</v>
      </c>
      <c r="I125" s="78" t="s">
        <v>254</v>
      </c>
      <c r="J125" s="74" t="s">
        <v>256</v>
      </c>
      <c r="K125" s="78" t="s">
        <v>255</v>
      </c>
      <c r="M125" s="1"/>
      <c r="N125" s="78" t="s">
        <v>254</v>
      </c>
      <c r="O125" s="74" t="s">
        <v>256</v>
      </c>
      <c r="P125" s="78" t="s">
        <v>255</v>
      </c>
      <c r="Q125" s="78" t="s">
        <v>254</v>
      </c>
      <c r="R125" s="74" t="s">
        <v>256</v>
      </c>
      <c r="S125" s="62" t="s">
        <v>255</v>
      </c>
      <c r="U125" s="1"/>
      <c r="V125" s="62" t="s">
        <v>254</v>
      </c>
      <c r="W125" s="74" t="s">
        <v>256</v>
      </c>
      <c r="X125" s="62" t="s">
        <v>255</v>
      </c>
      <c r="Y125" s="62" t="s">
        <v>254</v>
      </c>
      <c r="Z125" s="74" t="s">
        <v>256</v>
      </c>
      <c r="AA125" s="62" t="s">
        <v>255</v>
      </c>
    </row>
    <row r="126" spans="3:27" ht="18" x14ac:dyDescent="0.35">
      <c r="D126" t="s">
        <v>13</v>
      </c>
      <c r="E126">
        <f>'Sand.panel_t-1,0'!H$14</f>
        <v>308</v>
      </c>
      <c r="F126" s="3">
        <v>-0.2</v>
      </c>
      <c r="H126" s="3">
        <v>0.3</v>
      </c>
      <c r="I126" s="3">
        <v>-0.28999999999999998</v>
      </c>
      <c r="K126" s="69">
        <v>0.2</v>
      </c>
      <c r="M126">
        <f>'Sand.panel_t-1,0'!I$14</f>
        <v>300</v>
      </c>
      <c r="N126" s="3">
        <v>-0.22</v>
      </c>
      <c r="P126" s="3">
        <v>0.28000000000000003</v>
      </c>
      <c r="Q126" s="3">
        <v>-0.28000000000000003</v>
      </c>
      <c r="S126">
        <v>0.22</v>
      </c>
      <c r="U126">
        <f>'Sand.panel_t-1,0'!J$14</f>
        <v>313.2</v>
      </c>
    </row>
    <row r="127" spans="3:27" ht="18" x14ac:dyDescent="0.35">
      <c r="D127" t="s">
        <v>204</v>
      </c>
      <c r="E127">
        <f>'Sand.panel_t-1,0'!H$16</f>
        <v>594</v>
      </c>
      <c r="F127" s="3">
        <v>-0.72</v>
      </c>
      <c r="G127" s="72" t="s">
        <v>266</v>
      </c>
      <c r="H127" s="3">
        <v>1.08</v>
      </c>
      <c r="I127" s="3">
        <v>-1.08</v>
      </c>
      <c r="J127" s="72" t="s">
        <v>271</v>
      </c>
      <c r="K127" s="3">
        <v>0.68</v>
      </c>
      <c r="M127">
        <f>'Sand.panel_t-1,0'!I$16</f>
        <v>600</v>
      </c>
      <c r="N127" s="3">
        <v>-0.77</v>
      </c>
      <c r="P127" s="3">
        <v>1.1000000000000001</v>
      </c>
      <c r="Q127" s="3">
        <v>-1.1000000000000001</v>
      </c>
      <c r="S127">
        <v>0.78</v>
      </c>
      <c r="U127">
        <f>'Sand.panel_t-1,0'!J$16</f>
        <v>600.29999999999995</v>
      </c>
    </row>
    <row r="128" spans="3:27" ht="18" x14ac:dyDescent="0.35">
      <c r="D128" t="s">
        <v>205</v>
      </c>
      <c r="E128">
        <f>'Sand.panel_t-1,0'!H$18</f>
        <v>814</v>
      </c>
      <c r="F128" s="3">
        <v>-1.34</v>
      </c>
      <c r="H128" s="3">
        <v>2.02</v>
      </c>
      <c r="I128" s="3">
        <v>-2.02</v>
      </c>
      <c r="K128" s="3">
        <v>1.33</v>
      </c>
      <c r="M128">
        <f>'Sand.panel_t-1,0'!I$18</f>
        <v>810</v>
      </c>
      <c r="N128" s="3">
        <v>-1.39</v>
      </c>
      <c r="P128" s="3">
        <v>2</v>
      </c>
      <c r="Q128" s="3">
        <v>-1.99</v>
      </c>
      <c r="S128" s="3">
        <v>1.36</v>
      </c>
      <c r="U128">
        <f>'Sand.panel_t-1,0'!J$18</f>
        <v>809.1</v>
      </c>
    </row>
    <row r="129" spans="3:27" ht="18" x14ac:dyDescent="0.35">
      <c r="D129" t="s">
        <v>206</v>
      </c>
      <c r="E129">
        <f>'Sand.panel_t-1,0'!H$20</f>
        <v>990</v>
      </c>
      <c r="F129" s="3">
        <v>-2.0299999999999998</v>
      </c>
      <c r="H129" s="3">
        <v>2.97</v>
      </c>
      <c r="I129" s="3">
        <v>-2.97</v>
      </c>
      <c r="K129" s="3">
        <v>2</v>
      </c>
      <c r="M129">
        <f>'Sand.panel_t-1,0'!I$20</f>
        <v>990</v>
      </c>
      <c r="N129" s="3">
        <v>-2.1</v>
      </c>
      <c r="P129" s="3">
        <v>2.97</v>
      </c>
      <c r="Q129" s="3">
        <v>-2.97</v>
      </c>
      <c r="S129" s="3">
        <v>2.02</v>
      </c>
      <c r="U129">
        <f>'Sand.panel_t-1,0'!J$20</f>
        <v>991.8</v>
      </c>
    </row>
    <row r="130" spans="3:27" ht="18" x14ac:dyDescent="0.35">
      <c r="D130" t="s">
        <v>207</v>
      </c>
      <c r="E130">
        <f>'Sand.panel_t-1,0'!H$22</f>
        <v>1232</v>
      </c>
      <c r="F130" s="3">
        <v>-3.23</v>
      </c>
      <c r="H130" s="3">
        <v>4.59</v>
      </c>
      <c r="I130" s="3">
        <v>-4.59</v>
      </c>
      <c r="K130" s="3">
        <v>3.21</v>
      </c>
      <c r="M130">
        <f>'Sand.panel_t-1,0'!I$22</f>
        <v>1230</v>
      </c>
      <c r="N130" s="3">
        <v>-3.26</v>
      </c>
      <c r="P130" s="3">
        <v>4.58</v>
      </c>
      <c r="Q130" s="3">
        <v>-4.58</v>
      </c>
      <c r="S130" s="3">
        <v>3.18</v>
      </c>
      <c r="U130">
        <f>'Sand.panel_t-1,0'!J$22</f>
        <v>1226.7</v>
      </c>
    </row>
    <row r="131" spans="3:27" ht="18" x14ac:dyDescent="0.35">
      <c r="D131" t="s">
        <v>208</v>
      </c>
      <c r="E131">
        <f>'Sand.panel_t-1,0'!H$24</f>
        <v>1540</v>
      </c>
      <c r="F131" s="3">
        <v>-5.08</v>
      </c>
      <c r="H131" s="3">
        <v>7.16</v>
      </c>
      <c r="I131" s="3">
        <v>-7.16</v>
      </c>
      <c r="K131" s="3">
        <v>5.0599999999999996</v>
      </c>
      <c r="M131">
        <f>'Sand.panel_t-1,0'!I$24</f>
        <v>1530</v>
      </c>
      <c r="N131" s="3">
        <v>-5.16</v>
      </c>
      <c r="P131" s="3">
        <v>7.07</v>
      </c>
      <c r="Q131" s="3">
        <v>-7.06</v>
      </c>
      <c r="S131" s="3">
        <v>5.09</v>
      </c>
      <c r="U131">
        <f>'Sand.panel_t-1,0'!J$24</f>
        <v>1539.9</v>
      </c>
    </row>
    <row r="132" spans="3:27" ht="18" x14ac:dyDescent="0.35">
      <c r="D132" t="s">
        <v>209</v>
      </c>
      <c r="E132">
        <f>'Sand.panel_t-1,0'!H$26</f>
        <v>1804</v>
      </c>
      <c r="F132" s="3">
        <v>-6.99</v>
      </c>
      <c r="H132" s="3">
        <v>9.81</v>
      </c>
      <c r="I132" s="3">
        <v>-9.81</v>
      </c>
      <c r="K132" s="3">
        <v>6.97</v>
      </c>
      <c r="M132">
        <f>'Sand.panel_t-1,0'!I$26</f>
        <v>1800</v>
      </c>
      <c r="N132" s="3">
        <v>-7.15</v>
      </c>
      <c r="P132" s="3">
        <v>9.77</v>
      </c>
      <c r="Q132" s="3">
        <v>-9.76</v>
      </c>
      <c r="S132" s="3">
        <v>7.07</v>
      </c>
      <c r="U132">
        <f>'Sand.panel_t-1,0'!J$26</f>
        <v>1800.9</v>
      </c>
    </row>
    <row r="133" spans="3:27" ht="18" x14ac:dyDescent="0.35">
      <c r="D133" t="s">
        <v>210</v>
      </c>
      <c r="E133">
        <f>'Sand.panel_t-1,0'!H$28</f>
        <v>2002</v>
      </c>
      <c r="F133" s="3">
        <v>-8.6199999999999992</v>
      </c>
      <c r="H133" s="3">
        <v>12.07</v>
      </c>
      <c r="I133" s="3">
        <v>-12.07</v>
      </c>
      <c r="K133" s="3">
        <v>8.59</v>
      </c>
      <c r="M133">
        <f>'Sand.panel_t-1,0'!I$28</f>
        <v>2010</v>
      </c>
      <c r="N133" s="3">
        <v>-8.91</v>
      </c>
      <c r="P133" s="3">
        <v>12.17</v>
      </c>
      <c r="Q133" s="3">
        <v>-12.16</v>
      </c>
      <c r="S133" s="3">
        <v>8.83</v>
      </c>
      <c r="U133">
        <f>'Sand.panel_t-1,0'!J$28</f>
        <v>2009.7</v>
      </c>
    </row>
    <row r="136" spans="3:27" ht="18" x14ac:dyDescent="0.35">
      <c r="C136" s="41" t="s">
        <v>151</v>
      </c>
      <c r="D136" s="2">
        <f>'Sand.panel_t-1,0'!H35</f>
        <v>5</v>
      </c>
      <c r="E136" t="s">
        <v>113</v>
      </c>
      <c r="H136" s="78"/>
      <c r="I136" s="80"/>
      <c r="L136" s="41" t="s">
        <v>151</v>
      </c>
      <c r="T136" s="41" t="s">
        <v>151</v>
      </c>
    </row>
    <row r="137" spans="3:27" x14ac:dyDescent="0.25">
      <c r="C137" s="44"/>
      <c r="D137" s="2"/>
    </row>
    <row r="138" spans="3:27" x14ac:dyDescent="0.25">
      <c r="E138" t="s">
        <v>2</v>
      </c>
      <c r="F138" s="77" t="s">
        <v>202</v>
      </c>
      <c r="I138" s="77" t="s">
        <v>203</v>
      </c>
      <c r="K138" s="69"/>
      <c r="M138" t="s">
        <v>3</v>
      </c>
      <c r="N138" s="77" t="s">
        <v>202</v>
      </c>
      <c r="Q138" s="77" t="s">
        <v>203</v>
      </c>
      <c r="S138" s="44"/>
      <c r="U138" t="s">
        <v>147</v>
      </c>
      <c r="V138" s="6" t="s">
        <v>202</v>
      </c>
      <c r="Y138" s="6" t="s">
        <v>203</v>
      </c>
      <c r="AA138" s="44"/>
    </row>
    <row r="139" spans="3:27" ht="18" x14ac:dyDescent="0.35">
      <c r="E139" s="1"/>
      <c r="F139" s="78" t="s">
        <v>212</v>
      </c>
      <c r="G139" s="74"/>
      <c r="H139" s="78" t="s">
        <v>201</v>
      </c>
      <c r="I139" s="78" t="s">
        <v>212</v>
      </c>
      <c r="J139" s="74"/>
      <c r="K139" s="78" t="s">
        <v>201</v>
      </c>
      <c r="M139" s="1" t="s">
        <v>114</v>
      </c>
      <c r="N139" s="78" t="s">
        <v>212</v>
      </c>
      <c r="O139" s="74"/>
      <c r="P139" s="78" t="s">
        <v>201</v>
      </c>
      <c r="Q139" s="78" t="s">
        <v>212</v>
      </c>
      <c r="R139" s="74"/>
      <c r="S139" s="62" t="s">
        <v>201</v>
      </c>
      <c r="U139" s="1" t="s">
        <v>114</v>
      </c>
      <c r="V139" s="62" t="s">
        <v>212</v>
      </c>
      <c r="W139" s="74"/>
      <c r="X139" s="62" t="s">
        <v>201</v>
      </c>
      <c r="Y139" s="62" t="s">
        <v>212</v>
      </c>
      <c r="Z139" s="74"/>
      <c r="AA139" s="62" t="s">
        <v>201</v>
      </c>
    </row>
    <row r="140" spans="3:27" x14ac:dyDescent="0.25">
      <c r="E140" s="1" t="s">
        <v>211</v>
      </c>
      <c r="F140" s="78" t="s">
        <v>254</v>
      </c>
      <c r="G140" s="74" t="s">
        <v>256</v>
      </c>
      <c r="H140" s="78" t="s">
        <v>255</v>
      </c>
      <c r="I140" s="78" t="s">
        <v>254</v>
      </c>
      <c r="J140" s="74" t="s">
        <v>256</v>
      </c>
      <c r="K140" s="78" t="s">
        <v>255</v>
      </c>
      <c r="M140" s="1"/>
      <c r="N140" s="78" t="s">
        <v>254</v>
      </c>
      <c r="O140" s="74" t="s">
        <v>256</v>
      </c>
      <c r="P140" s="78" t="s">
        <v>255</v>
      </c>
      <c r="Q140" s="78" t="s">
        <v>254</v>
      </c>
      <c r="R140" s="74" t="s">
        <v>256</v>
      </c>
      <c r="S140" s="62" t="s">
        <v>255</v>
      </c>
      <c r="U140" s="1"/>
      <c r="V140" s="62" t="s">
        <v>254</v>
      </c>
      <c r="W140" s="74" t="s">
        <v>256</v>
      </c>
      <c r="X140" s="62" t="s">
        <v>255</v>
      </c>
      <c r="Y140" s="62" t="s">
        <v>254</v>
      </c>
      <c r="Z140" s="74" t="s">
        <v>256</v>
      </c>
      <c r="AA140" s="62" t="s">
        <v>255</v>
      </c>
    </row>
    <row r="141" spans="3:27" ht="18" x14ac:dyDescent="0.35">
      <c r="D141" t="s">
        <v>13</v>
      </c>
      <c r="E141">
        <f>'Sand.panel_t-1,0'!H$14</f>
        <v>308</v>
      </c>
      <c r="F141" s="3">
        <v>-0.2</v>
      </c>
      <c r="H141" s="3">
        <v>0.3</v>
      </c>
      <c r="I141" s="3">
        <v>-0.28999999999999998</v>
      </c>
      <c r="K141" s="69">
        <v>0.2</v>
      </c>
      <c r="M141">
        <f>'Sand.panel_t-1,0'!I$14</f>
        <v>300</v>
      </c>
      <c r="N141" s="3">
        <v>-0.22</v>
      </c>
      <c r="P141" s="3">
        <v>0.28000000000000003</v>
      </c>
      <c r="Q141" s="3">
        <v>-0.28000000000000003</v>
      </c>
      <c r="S141">
        <v>0.22</v>
      </c>
      <c r="U141">
        <f>'Sand.panel_t-1,0'!J$14</f>
        <v>313.2</v>
      </c>
    </row>
    <row r="142" spans="3:27" ht="18" x14ac:dyDescent="0.35">
      <c r="D142" t="s">
        <v>204</v>
      </c>
      <c r="E142">
        <f>'Sand.panel_t-1,0'!H$16</f>
        <v>594</v>
      </c>
      <c r="F142" s="3">
        <v>-0.7</v>
      </c>
      <c r="G142" s="72" t="s">
        <v>266</v>
      </c>
      <c r="H142" s="3">
        <v>1.08</v>
      </c>
      <c r="I142" s="3">
        <v>-1.08</v>
      </c>
      <c r="J142" s="72" t="s">
        <v>268</v>
      </c>
      <c r="K142" s="3">
        <v>0.67</v>
      </c>
      <c r="M142">
        <f>'Sand.panel_t-1,0'!I$16</f>
        <v>600</v>
      </c>
      <c r="N142" s="3">
        <v>-0.76</v>
      </c>
      <c r="P142" s="3">
        <v>1.1000000000000001</v>
      </c>
      <c r="Q142" s="3">
        <v>-1.1000000000000001</v>
      </c>
      <c r="S142">
        <v>0.78</v>
      </c>
      <c r="U142">
        <f>'Sand.panel_t-1,0'!J$16</f>
        <v>600.29999999999995</v>
      </c>
    </row>
    <row r="143" spans="3:27" ht="18" x14ac:dyDescent="0.35">
      <c r="D143" t="s">
        <v>205</v>
      </c>
      <c r="E143">
        <f>'Sand.panel_t-1,0'!H$18</f>
        <v>814</v>
      </c>
      <c r="F143" s="3">
        <v>-1.33</v>
      </c>
      <c r="H143" s="3">
        <v>2.02</v>
      </c>
      <c r="I143" s="3">
        <v>-2.0099999999999998</v>
      </c>
      <c r="K143" s="3">
        <v>1.31</v>
      </c>
      <c r="M143">
        <f>'Sand.panel_t-1,0'!I$18</f>
        <v>810</v>
      </c>
      <c r="N143" s="3">
        <v>-1.36</v>
      </c>
      <c r="P143" s="3">
        <v>2</v>
      </c>
      <c r="Q143" s="3">
        <v>-1.99</v>
      </c>
      <c r="S143" s="3">
        <v>1.35</v>
      </c>
      <c r="U143">
        <f>'Sand.panel_t-1,0'!J$18</f>
        <v>809.1</v>
      </c>
    </row>
    <row r="144" spans="3:27" ht="18" x14ac:dyDescent="0.35">
      <c r="D144" t="s">
        <v>206</v>
      </c>
      <c r="E144">
        <f>'Sand.panel_t-1,0'!H$20</f>
        <v>990</v>
      </c>
      <c r="F144" s="3">
        <v>-1.99</v>
      </c>
      <c r="H144" s="3">
        <v>2.97</v>
      </c>
      <c r="I144" s="3">
        <v>-2.97</v>
      </c>
      <c r="K144" s="3">
        <v>1.98</v>
      </c>
      <c r="M144">
        <f>'Sand.panel_t-1,0'!I$20</f>
        <v>990</v>
      </c>
      <c r="N144" s="3">
        <v>-2.0499999999999998</v>
      </c>
      <c r="P144" s="3">
        <v>2.97</v>
      </c>
      <c r="Q144" s="3">
        <v>-2.97</v>
      </c>
      <c r="S144" s="3">
        <v>2</v>
      </c>
      <c r="U144">
        <f>'Sand.panel_t-1,0'!J$20</f>
        <v>991.8</v>
      </c>
    </row>
    <row r="145" spans="4:21" ht="18" x14ac:dyDescent="0.35">
      <c r="D145" t="s">
        <v>207</v>
      </c>
      <c r="E145">
        <f>'Sand.panel_t-1,0'!H$22</f>
        <v>1232</v>
      </c>
      <c r="F145" s="3">
        <v>-3.19</v>
      </c>
      <c r="H145" s="3">
        <v>4.59</v>
      </c>
      <c r="I145" s="3">
        <v>-4.59</v>
      </c>
      <c r="K145" s="3">
        <v>3.17</v>
      </c>
      <c r="M145">
        <f>'Sand.panel_t-1,0'!I$22</f>
        <v>1230</v>
      </c>
      <c r="N145" s="3">
        <v>-3.19</v>
      </c>
      <c r="P145" s="3">
        <v>4.58</v>
      </c>
      <c r="Q145" s="3">
        <v>-4.57</v>
      </c>
      <c r="S145" s="3">
        <v>3.15</v>
      </c>
      <c r="U145">
        <f>'Sand.panel_t-1,0'!J$22</f>
        <v>1226.7</v>
      </c>
    </row>
    <row r="146" spans="4:21" ht="18" x14ac:dyDescent="0.35">
      <c r="D146" t="s">
        <v>208</v>
      </c>
      <c r="E146">
        <f>'Sand.panel_t-1,0'!H$24</f>
        <v>1540</v>
      </c>
      <c r="F146" s="3">
        <v>-5.01</v>
      </c>
      <c r="H146" s="3">
        <v>7.16</v>
      </c>
      <c r="I146" s="3">
        <v>-7.15</v>
      </c>
      <c r="K146" s="3">
        <v>5</v>
      </c>
      <c r="M146">
        <f>'Sand.panel_t-1,0'!I$24</f>
        <v>1530</v>
      </c>
      <c r="N146" s="3">
        <v>-5.08</v>
      </c>
      <c r="P146" s="3">
        <v>7.07</v>
      </c>
      <c r="Q146" s="3">
        <v>-7.06</v>
      </c>
      <c r="S146" s="3">
        <v>5.05</v>
      </c>
      <c r="U146">
        <f>'Sand.panel_t-1,0'!J$24</f>
        <v>1539.9</v>
      </c>
    </row>
    <row r="147" spans="4:21" ht="18" x14ac:dyDescent="0.35">
      <c r="D147" t="s">
        <v>209</v>
      </c>
      <c r="E147">
        <f>'Sand.panel_t-1,0'!H$26</f>
        <v>1804</v>
      </c>
      <c r="F147" s="3">
        <v>-6.9</v>
      </c>
      <c r="H147" s="3">
        <v>9.81</v>
      </c>
      <c r="I147" s="3">
        <v>-9.8000000000000007</v>
      </c>
      <c r="K147" s="3">
        <v>6.88</v>
      </c>
      <c r="M147">
        <f>'Sand.panel_t-1,0'!I$26</f>
        <v>1800</v>
      </c>
      <c r="N147" s="3">
        <v>-7.03</v>
      </c>
      <c r="P147" s="3">
        <v>9.77</v>
      </c>
      <c r="Q147" s="3">
        <v>-9.76</v>
      </c>
      <c r="S147" s="3">
        <v>7</v>
      </c>
      <c r="U147">
        <f>'Sand.panel_t-1,0'!J$26</f>
        <v>1800.9</v>
      </c>
    </row>
    <row r="148" spans="4:21" ht="18" x14ac:dyDescent="0.35">
      <c r="D148" t="s">
        <v>210</v>
      </c>
      <c r="E148">
        <f>'Sand.panel_t-1,0'!H$28</f>
        <v>2002</v>
      </c>
      <c r="F148" s="3">
        <v>-8.5299999999999994</v>
      </c>
      <c r="H148" s="3">
        <v>12.07</v>
      </c>
      <c r="I148" s="3">
        <v>-12.06</v>
      </c>
      <c r="K148" s="3">
        <v>8.5</v>
      </c>
      <c r="M148">
        <f>'Sand.panel_t-1,0'!I$28</f>
        <v>2010</v>
      </c>
      <c r="N148" s="3">
        <v>-8.7799999999999994</v>
      </c>
      <c r="P148" s="3">
        <v>12.17</v>
      </c>
      <c r="Q148" s="3">
        <v>-12.16</v>
      </c>
      <c r="S148" s="3">
        <v>8.75</v>
      </c>
      <c r="U148">
        <f>'Sand.panel_t-1,0'!J$28</f>
        <v>2009.7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2972C-7BBF-4E79-AF3D-A3CC12B5AC95}">
  <dimension ref="B1:O210"/>
  <sheetViews>
    <sheetView topLeftCell="A56" zoomScale="70" zoomScaleNormal="70" workbookViewId="0">
      <selection activeCell="G35" sqref="G35"/>
    </sheetView>
  </sheetViews>
  <sheetFormatPr defaultRowHeight="15" x14ac:dyDescent="0.25"/>
  <cols>
    <col min="1" max="1" width="1.5703125" customWidth="1"/>
    <col min="5" max="5" width="9.140625" customWidth="1"/>
    <col min="6" max="6" width="9.140625" style="3"/>
    <col min="7" max="7" width="9.140625" style="3" customWidth="1"/>
    <col min="8" max="8" width="9.140625" style="24"/>
    <col min="10" max="10" width="9.140625" customWidth="1"/>
    <col min="15" max="15" width="9.140625" customWidth="1"/>
  </cols>
  <sheetData>
    <row r="1" spans="2:6" ht="8.1" customHeight="1" x14ac:dyDescent="0.25"/>
    <row r="2" spans="2:6" ht="18.75" x14ac:dyDescent="0.3">
      <c r="B2" s="30" t="s">
        <v>162</v>
      </c>
      <c r="C2" s="29"/>
      <c r="D2" s="29"/>
      <c r="E2" s="29"/>
      <c r="F2" s="49"/>
    </row>
    <row r="4" spans="2:6" ht="17.25" x14ac:dyDescent="0.25">
      <c r="B4" t="s">
        <v>163</v>
      </c>
    </row>
    <row r="5" spans="2:6" x14ac:dyDescent="0.25">
      <c r="B5" t="s">
        <v>164</v>
      </c>
    </row>
    <row r="6" spans="2:6" x14ac:dyDescent="0.25">
      <c r="B6" s="14" t="s">
        <v>168</v>
      </c>
    </row>
    <row r="7" spans="2:6" ht="18" x14ac:dyDescent="0.35">
      <c r="B7" s="14" t="s">
        <v>165</v>
      </c>
    </row>
    <row r="8" spans="2:6" x14ac:dyDescent="0.25">
      <c r="B8" s="14" t="s">
        <v>166</v>
      </c>
    </row>
    <row r="9" spans="2:6" x14ac:dyDescent="0.25">
      <c r="B9" s="14" t="s">
        <v>167</v>
      </c>
    </row>
    <row r="11" spans="2:6" x14ac:dyDescent="0.25">
      <c r="B11" t="s">
        <v>169</v>
      </c>
    </row>
    <row r="13" spans="2:6" x14ac:dyDescent="0.25">
      <c r="F13" s="50"/>
    </row>
    <row r="14" spans="2:6" x14ac:dyDescent="0.25">
      <c r="F14" s="50"/>
    </row>
    <row r="16" spans="2:6" ht="18" x14ac:dyDescent="0.35">
      <c r="C16" s="40" t="s">
        <v>99</v>
      </c>
      <c r="D16" s="2">
        <f>'Sand.panel_t-1,0'!H36</f>
        <v>1</v>
      </c>
      <c r="E16" t="s">
        <v>113</v>
      </c>
    </row>
    <row r="17" spans="3:10" ht="18" x14ac:dyDescent="0.35">
      <c r="C17" s="41" t="s">
        <v>101</v>
      </c>
      <c r="D17" s="2">
        <f>'Sand.panel_t-1,0'!H32</f>
        <v>3</v>
      </c>
      <c r="E17" t="s">
        <v>113</v>
      </c>
      <c r="J17" s="44"/>
    </row>
    <row r="18" spans="3:10" ht="18" x14ac:dyDescent="0.35">
      <c r="D18" t="s">
        <v>2</v>
      </c>
      <c r="E18" s="1" t="s">
        <v>114</v>
      </c>
      <c r="F18" s="3" t="s">
        <v>170</v>
      </c>
      <c r="G18" s="3" t="s">
        <v>117</v>
      </c>
    </row>
    <row r="19" spans="3:10" x14ac:dyDescent="0.25">
      <c r="E19">
        <f>'Sand.panel_t-1,0'!H14</f>
        <v>308</v>
      </c>
      <c r="F19" s="3">
        <f>E19/250</f>
        <v>1.232</v>
      </c>
      <c r="G19" s="3">
        <f>'Sand.panel_t-1,0'!H285</f>
        <v>2.5999999999999999E-2</v>
      </c>
      <c r="I19" s="3"/>
    </row>
    <row r="20" spans="3:10" x14ac:dyDescent="0.25">
      <c r="E20">
        <f>'Sand.panel_t-1,0'!H16</f>
        <v>594</v>
      </c>
      <c r="F20" s="3">
        <f t="shared" ref="F20:F24" si="0">E20/250</f>
        <v>2.3759999999999999</v>
      </c>
      <c r="G20" s="3">
        <f>'Sand.panel_t-1,0'!H287</f>
        <v>0.14599999999999999</v>
      </c>
      <c r="I20" s="3"/>
    </row>
    <row r="21" spans="3:10" x14ac:dyDescent="0.25">
      <c r="E21">
        <f>'Sand.panel_t-1,0'!H18</f>
        <v>814</v>
      </c>
      <c r="F21" s="3">
        <f t="shared" si="0"/>
        <v>3.2559999999999998</v>
      </c>
      <c r="G21" s="3">
        <f>'Sand.panel_t-1,0'!H289</f>
        <v>0.374</v>
      </c>
    </row>
    <row r="22" spans="3:10" x14ac:dyDescent="0.25">
      <c r="E22">
        <f>'Sand.panel_t-1,0'!H20</f>
        <v>990</v>
      </c>
      <c r="F22" s="3">
        <f t="shared" si="0"/>
        <v>3.96</v>
      </c>
      <c r="G22" s="3">
        <f>'Sand.panel_t-1,0'!H291</f>
        <v>0.70199999999999996</v>
      </c>
    </row>
    <row r="23" spans="3:10" x14ac:dyDescent="0.25">
      <c r="E23">
        <f>'Sand.panel_t-1,0'!H22</f>
        <v>1232</v>
      </c>
      <c r="F23" s="3">
        <f t="shared" si="0"/>
        <v>4.9279999999999999</v>
      </c>
      <c r="G23" s="3">
        <f>'Sand.panel_t-1,0'!H293</f>
        <v>1.4810000000000001</v>
      </c>
    </row>
    <row r="24" spans="3:10" x14ac:dyDescent="0.25">
      <c r="E24">
        <f>'Sand.panel_t-1,0'!H24</f>
        <v>1540</v>
      </c>
      <c r="F24" s="3">
        <f t="shared" si="0"/>
        <v>6.16</v>
      </c>
      <c r="G24" s="3">
        <f>'Sand.panel_t-1,0'!H295</f>
        <v>3.274</v>
      </c>
    </row>
    <row r="25" spans="3:10" x14ac:dyDescent="0.25">
      <c r="E25">
        <f>'Sand.panel_t-1,0'!H26</f>
        <v>1804</v>
      </c>
      <c r="F25" s="3">
        <f>E25/250</f>
        <v>7.2160000000000002</v>
      </c>
      <c r="G25" s="3">
        <f>'Sand.panel_t-1,0'!H297</f>
        <v>5.8520000000000003</v>
      </c>
    </row>
    <row r="26" spans="3:10" x14ac:dyDescent="0.25">
      <c r="E26">
        <f>'Sand.panel_t-1,0'!H28</f>
        <v>2002</v>
      </c>
      <c r="F26" s="3">
        <f>E26/250</f>
        <v>8.0079999999999991</v>
      </c>
      <c r="G26" s="3">
        <f>'Sand.panel_t-1,0'!H299</f>
        <v>8.6329999999999991</v>
      </c>
      <c r="I26" s="3"/>
      <c r="J26" s="3"/>
    </row>
    <row r="29" spans="3:10" ht="18" x14ac:dyDescent="0.35">
      <c r="D29" t="s">
        <v>3</v>
      </c>
      <c r="E29" s="1" t="s">
        <v>114</v>
      </c>
      <c r="F29" s="3" t="s">
        <v>170</v>
      </c>
      <c r="G29" s="3" t="s">
        <v>117</v>
      </c>
    </row>
    <row r="30" spans="3:10" x14ac:dyDescent="0.25">
      <c r="E30">
        <f>'Sand.panel_t-1,0'!I14</f>
        <v>300</v>
      </c>
      <c r="F30" s="3">
        <f>E30/250</f>
        <v>1.2</v>
      </c>
      <c r="G30" s="3">
        <f>'Sand.panel_t-1,0'!I285</f>
        <v>3.9E-2</v>
      </c>
      <c r="I30" s="3"/>
      <c r="J30" s="3"/>
    </row>
    <row r="31" spans="3:10" x14ac:dyDescent="0.25">
      <c r="E31">
        <f>'Sand.panel_t-1,0'!I16</f>
        <v>600</v>
      </c>
      <c r="F31" s="3">
        <f t="shared" ref="F31:F35" si="1">E31/250</f>
        <v>2.4</v>
      </c>
      <c r="G31" s="3">
        <f>'Sand.panel_t-1,0'!I287</f>
        <v>0.21299999999999999</v>
      </c>
      <c r="I31" s="3"/>
      <c r="J31" s="3"/>
    </row>
    <row r="32" spans="3:10" x14ac:dyDescent="0.25">
      <c r="E32">
        <f>'Sand.panel_t-1,0'!I18</f>
        <v>810</v>
      </c>
      <c r="F32" s="3">
        <f t="shared" si="1"/>
        <v>3.24</v>
      </c>
      <c r="G32" s="3">
        <f>'Sand.panel_t-1,0'!I289</f>
        <v>0.48699999999999999</v>
      </c>
      <c r="I32" s="3"/>
      <c r="J32" s="3"/>
    </row>
    <row r="33" spans="4:10" x14ac:dyDescent="0.25">
      <c r="E33">
        <f>'Sand.panel_t-1,0'!I20</f>
        <v>990</v>
      </c>
      <c r="F33" s="3">
        <f t="shared" si="1"/>
        <v>3.96</v>
      </c>
      <c r="G33" s="3">
        <f>'Sand.panel_t-1,0'!I291</f>
        <v>0.88300000000000001</v>
      </c>
      <c r="I33" s="3"/>
      <c r="J33" s="3"/>
    </row>
    <row r="34" spans="4:10" x14ac:dyDescent="0.25">
      <c r="E34">
        <f>'Sand.panel_t-1,0'!I22</f>
        <v>1230</v>
      </c>
      <c r="F34" s="3">
        <f t="shared" si="1"/>
        <v>4.92</v>
      </c>
      <c r="G34" s="3">
        <f>'Sand.panel_t-1,0'!I293</f>
        <v>1.7509999999999999</v>
      </c>
      <c r="I34" s="3"/>
      <c r="J34" s="3"/>
    </row>
    <row r="35" spans="4:10" x14ac:dyDescent="0.25">
      <c r="E35">
        <f>'Sand.panel_t-1,0'!I24</f>
        <v>1530</v>
      </c>
      <c r="F35" s="3">
        <f t="shared" si="1"/>
        <v>6.12</v>
      </c>
      <c r="G35" s="3">
        <f>'Sand.panel_t-1,0'!I295</f>
        <v>3.6459999999999999</v>
      </c>
      <c r="I35" s="3"/>
      <c r="J35" s="3"/>
    </row>
    <row r="36" spans="4:10" x14ac:dyDescent="0.25">
      <c r="E36">
        <f>'Sand.panel_t-1,0'!I26</f>
        <v>1800</v>
      </c>
      <c r="F36" s="3">
        <f>E36/250</f>
        <v>7.2</v>
      </c>
      <c r="G36" s="3">
        <f>'Sand.panel_t-1,0'!I297</f>
        <v>6.4269999999999996</v>
      </c>
      <c r="I36" s="3"/>
      <c r="J36" s="3"/>
    </row>
    <row r="37" spans="4:10" x14ac:dyDescent="0.25">
      <c r="E37">
        <f>'Sand.panel_t-1,0'!I28</f>
        <v>2010</v>
      </c>
      <c r="F37" s="3">
        <f>E37/250</f>
        <v>8.0399999999999991</v>
      </c>
      <c r="G37" s="3">
        <f>'Sand.panel_t-1,0'!I299</f>
        <v>9.5419999999999998</v>
      </c>
      <c r="I37" s="3"/>
      <c r="J37" s="3"/>
    </row>
    <row r="38" spans="4:10" x14ac:dyDescent="0.25">
      <c r="I38" s="3"/>
      <c r="J38" s="3"/>
    </row>
    <row r="39" spans="4:10" x14ac:dyDescent="0.25">
      <c r="I39" s="3"/>
      <c r="J39" s="3"/>
    </row>
    <row r="40" spans="4:10" ht="18" x14ac:dyDescent="0.35">
      <c r="D40" t="s">
        <v>147</v>
      </c>
      <c r="E40" s="1" t="s">
        <v>114</v>
      </c>
      <c r="F40" s="3" t="s">
        <v>170</v>
      </c>
      <c r="G40" s="3" t="s">
        <v>117</v>
      </c>
    </row>
    <row r="41" spans="4:10" x14ac:dyDescent="0.25">
      <c r="E41">
        <f>'Sand.panel_t-1,0'!J14</f>
        <v>313.2</v>
      </c>
      <c r="F41" s="3">
        <f>E41/250</f>
        <v>1.2527999999999999</v>
      </c>
      <c r="G41" s="3">
        <f>'Sand.panel_t-1,0'!J285</f>
        <v>3.4000000000000002E-2</v>
      </c>
    </row>
    <row r="42" spans="4:10" x14ac:dyDescent="0.25">
      <c r="E42">
        <f>'Sand.panel_t-1,0'!J16</f>
        <v>600.29999999999995</v>
      </c>
      <c r="F42" s="3">
        <f t="shared" ref="F42:F46" si="2">E42/250</f>
        <v>2.4011999999999998</v>
      </c>
      <c r="G42" s="3">
        <f>'Sand.panel_t-1,0'!J287</f>
        <v>0.17899999999999999</v>
      </c>
    </row>
    <row r="43" spans="4:10" x14ac:dyDescent="0.25">
      <c r="E43">
        <f>'Sand.panel_t-1,0'!J18</f>
        <v>809.1</v>
      </c>
      <c r="F43" s="3">
        <f t="shared" si="2"/>
        <v>3.2364000000000002</v>
      </c>
      <c r="G43" s="3">
        <f>'Sand.panel_t-1,0'!J289</f>
        <v>0.42099999999999999</v>
      </c>
    </row>
    <row r="44" spans="4:10" x14ac:dyDescent="0.25">
      <c r="E44">
        <f>'Sand.panel_t-1,0'!J20</f>
        <v>991.8</v>
      </c>
      <c r="F44" s="3">
        <f t="shared" si="2"/>
        <v>3.9671999999999996</v>
      </c>
      <c r="G44" s="3">
        <f>'Sand.panel_t-1,0'!J291</f>
        <v>0.78900000000000003</v>
      </c>
    </row>
    <row r="45" spans="4:10" x14ac:dyDescent="0.25">
      <c r="E45">
        <f>'Sand.panel_t-1,0'!J22</f>
        <v>1226.7</v>
      </c>
      <c r="F45" s="3">
        <f t="shared" si="2"/>
        <v>4.9068000000000005</v>
      </c>
      <c r="G45" s="3">
        <f>'Sand.panel_t-1,0'!J293</f>
        <v>1.583</v>
      </c>
      <c r="I45" s="3"/>
      <c r="J45" s="3"/>
    </row>
    <row r="46" spans="4:10" x14ac:dyDescent="0.25">
      <c r="E46">
        <f>'Sand.panel_t-1,0'!J24</f>
        <v>1539.9</v>
      </c>
      <c r="F46" s="3">
        <f t="shared" si="2"/>
        <v>6.1596000000000002</v>
      </c>
      <c r="G46" s="3">
        <f>'Sand.panel_t-1,0'!J295</f>
        <v>3.48</v>
      </c>
      <c r="I46" s="3"/>
      <c r="J46" s="3"/>
    </row>
    <row r="47" spans="4:10" x14ac:dyDescent="0.25">
      <c r="E47">
        <f>'Sand.panel_t-1,0'!J26</f>
        <v>1800.9</v>
      </c>
      <c r="F47" s="3">
        <f>E47/250</f>
        <v>7.2036000000000007</v>
      </c>
      <c r="G47" s="3">
        <f>'Sand.panel_t-1,0'!J297</f>
        <v>6.0979999999999999</v>
      </c>
      <c r="I47" s="3"/>
      <c r="J47" s="3"/>
    </row>
    <row r="48" spans="4:10" x14ac:dyDescent="0.25">
      <c r="E48">
        <f>'Sand.panel_t-1,0'!J28</f>
        <v>2009.7</v>
      </c>
      <c r="F48" s="3">
        <f>E48/250</f>
        <v>8.0388000000000002</v>
      </c>
      <c r="G48" s="3">
        <f>'Sand.panel_t-1,0'!J299</f>
        <v>9.1129999999999995</v>
      </c>
      <c r="I48" s="3"/>
      <c r="J48" s="3"/>
    </row>
    <row r="51" spans="3:10" ht="18" x14ac:dyDescent="0.35">
      <c r="C51" s="41" t="s">
        <v>102</v>
      </c>
      <c r="D51" s="2">
        <f>'Sand.panel_t-1,0'!H33</f>
        <v>3.5</v>
      </c>
      <c r="E51" t="s">
        <v>113</v>
      </c>
    </row>
    <row r="52" spans="3:10" ht="18" x14ac:dyDescent="0.35">
      <c r="D52" t="s">
        <v>2</v>
      </c>
      <c r="E52" s="1" t="s">
        <v>114</v>
      </c>
      <c r="F52" s="3" t="s">
        <v>170</v>
      </c>
      <c r="G52" s="3" t="s">
        <v>117</v>
      </c>
    </row>
    <row r="53" spans="3:10" x14ac:dyDescent="0.25">
      <c r="E53">
        <f>'Sand.panel_t-1,0'!H14</f>
        <v>308</v>
      </c>
      <c r="F53" s="3">
        <f>E53/250</f>
        <v>1.232</v>
      </c>
      <c r="G53" s="3">
        <f>'Sand.panel_t-1,0'!H341</f>
        <v>2.1000000000000001E-2</v>
      </c>
      <c r="I53" s="3"/>
      <c r="J53" s="3"/>
    </row>
    <row r="54" spans="3:10" x14ac:dyDescent="0.25">
      <c r="E54">
        <f>'Sand.panel_t-1,0'!H16</f>
        <v>594</v>
      </c>
      <c r="F54" s="3">
        <f t="shared" ref="F54:F58" si="3">E54/250</f>
        <v>2.3759999999999999</v>
      </c>
      <c r="G54" s="3">
        <f>'Sand.panel_t-1,0'!H343</f>
        <v>0.125</v>
      </c>
      <c r="I54" s="3"/>
      <c r="J54" s="3"/>
    </row>
    <row r="55" spans="3:10" x14ac:dyDescent="0.25">
      <c r="E55">
        <f>'Sand.panel_t-1,0'!H18</f>
        <v>814</v>
      </c>
      <c r="F55" s="3">
        <f t="shared" si="3"/>
        <v>3.2559999999999998</v>
      </c>
      <c r="G55" s="3">
        <f>'Sand.panel_t-1,0'!H345</f>
        <v>0.33400000000000002</v>
      </c>
      <c r="I55" s="3"/>
      <c r="J55" s="3"/>
    </row>
    <row r="56" spans="3:10" x14ac:dyDescent="0.25">
      <c r="E56">
        <f>'Sand.panel_t-1,0'!H20</f>
        <v>990</v>
      </c>
      <c r="F56" s="3">
        <f t="shared" si="3"/>
        <v>3.96</v>
      </c>
      <c r="G56" s="3">
        <f>'Sand.panel_t-1,0'!H347</f>
        <v>0.64200000000000002</v>
      </c>
      <c r="I56" s="3"/>
      <c r="J56" s="3"/>
    </row>
    <row r="57" spans="3:10" x14ac:dyDescent="0.25">
      <c r="E57">
        <f>'Sand.panel_t-1,0'!H22</f>
        <v>1232</v>
      </c>
      <c r="F57" s="3">
        <f t="shared" si="3"/>
        <v>4.9279999999999999</v>
      </c>
      <c r="G57" s="3">
        <f>'Sand.panel_t-1,0'!H349</f>
        <v>1.389</v>
      </c>
      <c r="I57" s="3"/>
      <c r="J57" s="3"/>
    </row>
    <row r="58" spans="3:10" x14ac:dyDescent="0.25">
      <c r="E58">
        <f>'Sand.panel_t-1,0'!H24</f>
        <v>1540</v>
      </c>
      <c r="F58" s="3">
        <f t="shared" si="3"/>
        <v>6.16</v>
      </c>
      <c r="G58" s="3">
        <f>'Sand.panel_t-1,0'!H351</f>
        <v>3.1280000000000001</v>
      </c>
      <c r="I58" s="3"/>
      <c r="J58" s="3"/>
    </row>
    <row r="59" spans="3:10" x14ac:dyDescent="0.25">
      <c r="E59">
        <f>'Sand.panel_t-1,0'!H26</f>
        <v>1804</v>
      </c>
      <c r="F59" s="3">
        <f>E59/250</f>
        <v>7.2160000000000002</v>
      </c>
      <c r="G59" s="3">
        <f>'Sand.panel_t-1,0'!H353</f>
        <v>5.65</v>
      </c>
      <c r="I59" s="3"/>
      <c r="J59" s="3"/>
    </row>
    <row r="60" spans="3:10" x14ac:dyDescent="0.25">
      <c r="E60">
        <f>'Sand.panel_t-1,0'!H28</f>
        <v>2002</v>
      </c>
      <c r="F60" s="3">
        <f>E60/250</f>
        <v>8.0079999999999991</v>
      </c>
      <c r="G60" s="3">
        <f>'Sand.panel_t-1,0'!H355</f>
        <v>8.3849999999999998</v>
      </c>
      <c r="I60" s="3"/>
      <c r="J60" s="3"/>
    </row>
    <row r="63" spans="3:10" ht="18" x14ac:dyDescent="0.35">
      <c r="D63" t="s">
        <v>3</v>
      </c>
      <c r="E63" s="1" t="s">
        <v>114</v>
      </c>
      <c r="F63" s="3" t="s">
        <v>170</v>
      </c>
      <c r="G63" s="3" t="s">
        <v>117</v>
      </c>
    </row>
    <row r="64" spans="3:10" x14ac:dyDescent="0.25">
      <c r="E64">
        <f>'Sand.panel_t-1,0'!I14</f>
        <v>300</v>
      </c>
      <c r="F64" s="3">
        <f>E64/250</f>
        <v>1.2</v>
      </c>
      <c r="G64" s="3">
        <f>'Sand.panel_t-1,0'!I341</f>
        <v>0.03</v>
      </c>
      <c r="I64" s="3"/>
      <c r="J64" s="3"/>
    </row>
    <row r="65" spans="4:10" x14ac:dyDescent="0.25">
      <c r="E65">
        <f>'Sand.panel_t-1,0'!I16</f>
        <v>600</v>
      </c>
      <c r="F65" s="3">
        <f t="shared" ref="F65:F69" si="4">E65/250</f>
        <v>2.4</v>
      </c>
      <c r="G65" s="3">
        <f>'Sand.panel_t-1,0'!I343</f>
        <v>0.17599999999999999</v>
      </c>
      <c r="I65" s="3"/>
      <c r="J65" s="3"/>
    </row>
    <row r="66" spans="4:10" x14ac:dyDescent="0.25">
      <c r="E66">
        <f>'Sand.panel_t-1,0'!I18</f>
        <v>810</v>
      </c>
      <c r="F66" s="3">
        <f t="shared" si="4"/>
        <v>3.24</v>
      </c>
      <c r="G66" s="3">
        <f>'Sand.panel_t-1,0'!I345</f>
        <v>0.41899999999999998</v>
      </c>
      <c r="I66" s="3"/>
      <c r="J66" s="3"/>
    </row>
    <row r="67" spans="4:10" x14ac:dyDescent="0.25">
      <c r="E67">
        <f>'Sand.panel_t-1,0'!I20</f>
        <v>990</v>
      </c>
      <c r="F67" s="3">
        <f t="shared" si="4"/>
        <v>3.96</v>
      </c>
      <c r="G67" s="3">
        <f>'Sand.panel_t-1,0'!I347</f>
        <v>0.77900000000000003</v>
      </c>
      <c r="I67" s="3"/>
      <c r="J67" s="3"/>
    </row>
    <row r="68" spans="4:10" x14ac:dyDescent="0.25">
      <c r="E68">
        <f>'Sand.panel_t-1,0'!I22</f>
        <v>1230</v>
      </c>
      <c r="F68" s="3">
        <f t="shared" si="4"/>
        <v>4.92</v>
      </c>
      <c r="G68" s="3">
        <f>'Sand.panel_t-1,0'!I349</f>
        <v>1.59</v>
      </c>
      <c r="I68" s="3"/>
      <c r="J68" s="3"/>
    </row>
    <row r="69" spans="4:10" x14ac:dyDescent="0.25">
      <c r="E69">
        <f>'Sand.panel_t-1,0'!I24</f>
        <v>1530</v>
      </c>
      <c r="F69" s="3">
        <f t="shared" si="4"/>
        <v>6.12</v>
      </c>
      <c r="G69" s="3">
        <f>'Sand.panel_t-1,0'!I351</f>
        <v>3.395</v>
      </c>
      <c r="I69" s="3"/>
      <c r="J69" s="3"/>
    </row>
    <row r="70" spans="4:10" x14ac:dyDescent="0.25">
      <c r="E70">
        <f>'Sand.panel_t-1,0'!I26</f>
        <v>1800</v>
      </c>
      <c r="F70" s="3">
        <f>E70/250</f>
        <v>7.2</v>
      </c>
      <c r="G70" s="3">
        <f>'Sand.panel_t-1,0'!I353</f>
        <v>6.0780000000000003</v>
      </c>
      <c r="I70" s="3"/>
      <c r="J70" s="3"/>
    </row>
    <row r="71" spans="4:10" x14ac:dyDescent="0.25">
      <c r="E71">
        <f>'Sand.panel_t-1,0'!I28</f>
        <v>2010</v>
      </c>
      <c r="F71" s="3">
        <f>E71/250</f>
        <v>8.0399999999999991</v>
      </c>
      <c r="G71" s="3">
        <f>'Sand.panel_t-1,0'!I355</f>
        <v>9.1059999999999999</v>
      </c>
      <c r="I71" s="3"/>
      <c r="J71" s="3"/>
    </row>
    <row r="74" spans="4:10" ht="18" x14ac:dyDescent="0.35">
      <c r="D74" t="s">
        <v>147</v>
      </c>
      <c r="E74" s="1" t="s">
        <v>114</v>
      </c>
      <c r="F74" s="3" t="s">
        <v>170</v>
      </c>
      <c r="G74" s="3" t="s">
        <v>117</v>
      </c>
    </row>
    <row r="75" spans="4:10" x14ac:dyDescent="0.25">
      <c r="E75">
        <f>'Sand.panel_t-1,0'!J14</f>
        <v>313.2</v>
      </c>
      <c r="F75" s="3">
        <f>E75/250</f>
        <v>1.2527999999999999</v>
      </c>
      <c r="G75" s="3">
        <f>'Sand.panel_t-1,0'!J341</f>
        <v>2.7E-2</v>
      </c>
    </row>
    <row r="76" spans="4:10" x14ac:dyDescent="0.25">
      <c r="E76">
        <f>'Sand.panel_t-1,0'!J16</f>
        <v>600.29999999999995</v>
      </c>
      <c r="F76" s="3">
        <f t="shared" ref="F76:F80" si="5">E76/250</f>
        <v>2.4011999999999998</v>
      </c>
      <c r="G76" s="3">
        <f>'Sand.panel_t-1,0'!J343</f>
        <v>0.151</v>
      </c>
    </row>
    <row r="77" spans="4:10" x14ac:dyDescent="0.25">
      <c r="E77">
        <f>'Sand.panel_t-1,0'!J18</f>
        <v>809.1</v>
      </c>
      <c r="F77" s="3">
        <f t="shared" si="5"/>
        <v>3.2364000000000002</v>
      </c>
      <c r="G77" s="3">
        <f>'Sand.panel_t-1,0'!J345</f>
        <v>0.36799999999999999</v>
      </c>
    </row>
    <row r="78" spans="4:10" x14ac:dyDescent="0.25">
      <c r="E78">
        <f>'Sand.panel_t-1,0'!J20</f>
        <v>991.8</v>
      </c>
      <c r="F78" s="3">
        <f t="shared" si="5"/>
        <v>3.9671999999999996</v>
      </c>
      <c r="G78" s="3">
        <f>'Sand.panel_t-1,0'!J347</f>
        <v>0.70899999999999996</v>
      </c>
      <c r="I78" s="3"/>
      <c r="J78" s="3"/>
    </row>
    <row r="79" spans="4:10" x14ac:dyDescent="0.25">
      <c r="E79">
        <f>'Sand.panel_t-1,0'!J22</f>
        <v>1226.7</v>
      </c>
      <c r="F79" s="3">
        <f t="shared" si="5"/>
        <v>4.9068000000000005</v>
      </c>
      <c r="G79" s="3">
        <f>'Sand.panel_t-1,0'!J349</f>
        <v>1.46</v>
      </c>
      <c r="I79" s="3"/>
      <c r="J79" s="3"/>
    </row>
    <row r="80" spans="4:10" x14ac:dyDescent="0.25">
      <c r="E80">
        <f>'Sand.panel_t-1,0'!J24</f>
        <v>1539.9</v>
      </c>
      <c r="F80" s="3">
        <f t="shared" si="5"/>
        <v>6.1596000000000002</v>
      </c>
      <c r="G80" s="3">
        <f>'Sand.panel_t-1,0'!J351</f>
        <v>3.2850000000000001</v>
      </c>
      <c r="I80" s="3"/>
      <c r="J80" s="3"/>
    </row>
    <row r="81" spans="3:10" x14ac:dyDescent="0.25">
      <c r="E81">
        <f>'Sand.panel_t-1,0'!J26</f>
        <v>1800.9</v>
      </c>
      <c r="F81" s="3">
        <f>E81/250</f>
        <v>7.2036000000000007</v>
      </c>
      <c r="G81" s="3">
        <f>'Sand.panel_t-1,0'!J353</f>
        <v>5.83</v>
      </c>
      <c r="I81" s="3"/>
      <c r="J81" s="3"/>
    </row>
    <row r="82" spans="3:10" x14ac:dyDescent="0.25">
      <c r="E82">
        <f>'Sand.panel_t-1,0'!J28</f>
        <v>2009.7</v>
      </c>
      <c r="F82" s="3">
        <f>E82/250</f>
        <v>8.0388000000000002</v>
      </c>
      <c r="G82" s="3">
        <f>'Sand.panel_t-1,0'!J355</f>
        <v>8.7780000000000005</v>
      </c>
      <c r="I82" s="3"/>
      <c r="J82" s="3"/>
    </row>
    <row r="85" spans="3:10" ht="18" x14ac:dyDescent="0.35">
      <c r="C85" s="41" t="s">
        <v>103</v>
      </c>
      <c r="D85" s="2">
        <f>'Sand.panel_t-1,0'!H34</f>
        <v>4</v>
      </c>
      <c r="E85" t="s">
        <v>113</v>
      </c>
    </row>
    <row r="86" spans="3:10" ht="18" x14ac:dyDescent="0.35">
      <c r="D86" t="s">
        <v>2</v>
      </c>
      <c r="E86" s="1" t="s">
        <v>114</v>
      </c>
      <c r="F86" s="3" t="s">
        <v>170</v>
      </c>
      <c r="G86" s="3" t="s">
        <v>117</v>
      </c>
    </row>
    <row r="87" spans="3:10" x14ac:dyDescent="0.25">
      <c r="E87">
        <f>'Sand.panel_t-1,0'!H14</f>
        <v>308</v>
      </c>
      <c r="F87" s="3">
        <f>E87/250</f>
        <v>1.232</v>
      </c>
      <c r="G87" s="3">
        <f>'Sand.panel_t-1,0'!H397</f>
        <v>1.7000000000000001E-2</v>
      </c>
      <c r="I87" s="3"/>
      <c r="J87" s="3"/>
    </row>
    <row r="88" spans="3:10" x14ac:dyDescent="0.25">
      <c r="E88">
        <f>'Sand.panel_t-1,0'!H16</f>
        <v>594</v>
      </c>
      <c r="F88" s="3">
        <f t="shared" ref="F88:F92" si="6">E88/250</f>
        <v>2.3759999999999999</v>
      </c>
      <c r="G88" s="3">
        <f>'Sand.panel_t-1,0'!H399</f>
        <v>0.111</v>
      </c>
      <c r="I88" s="3"/>
      <c r="J88" s="3"/>
    </row>
    <row r="89" spans="3:10" x14ac:dyDescent="0.25">
      <c r="E89">
        <f>'Sand.panel_t-1,0'!H18</f>
        <v>814</v>
      </c>
      <c r="F89" s="3">
        <f t="shared" si="6"/>
        <v>3.2559999999999998</v>
      </c>
      <c r="G89" s="3">
        <f>'Sand.panel_t-1,0'!H401</f>
        <v>0.308</v>
      </c>
      <c r="I89" s="3"/>
      <c r="J89" s="3"/>
    </row>
    <row r="90" spans="3:10" x14ac:dyDescent="0.25">
      <c r="E90">
        <f>'Sand.panel_t-1,0'!H20</f>
        <v>990</v>
      </c>
      <c r="F90" s="3">
        <f t="shared" si="6"/>
        <v>3.96</v>
      </c>
      <c r="G90" s="3">
        <f>'Sand.panel_t-1,0'!H403</f>
        <v>0.60399999999999998</v>
      </c>
      <c r="I90" s="3"/>
      <c r="J90" s="3"/>
    </row>
    <row r="91" spans="3:10" x14ac:dyDescent="0.25">
      <c r="E91">
        <f>'Sand.panel_t-1,0'!H22</f>
        <v>1232</v>
      </c>
      <c r="F91" s="3">
        <f t="shared" si="6"/>
        <v>4.9279999999999999</v>
      </c>
      <c r="G91" s="3">
        <f>'Sand.panel_t-1,0'!H405</f>
        <v>1.3280000000000001</v>
      </c>
      <c r="I91" s="3"/>
      <c r="J91" s="3"/>
    </row>
    <row r="92" spans="3:10" x14ac:dyDescent="0.25">
      <c r="E92">
        <f>'Sand.panel_t-1,0'!H24</f>
        <v>1540</v>
      </c>
      <c r="F92" s="3">
        <f t="shared" si="6"/>
        <v>6.16</v>
      </c>
      <c r="G92" s="3">
        <f>'Sand.panel_t-1,0'!H407</f>
        <v>3.0329999999999999</v>
      </c>
      <c r="I92" s="3"/>
      <c r="J92" s="3"/>
    </row>
    <row r="93" spans="3:10" x14ac:dyDescent="0.25">
      <c r="E93">
        <f>'Sand.panel_t-1,0'!H26</f>
        <v>1804</v>
      </c>
      <c r="F93" s="3">
        <f>E93/250</f>
        <v>7.2160000000000002</v>
      </c>
      <c r="G93" s="3">
        <f>'Sand.panel_t-1,0'!H409</f>
        <v>5.52</v>
      </c>
      <c r="I93" s="3"/>
      <c r="J93" s="3"/>
    </row>
    <row r="94" spans="3:10" x14ac:dyDescent="0.25">
      <c r="E94">
        <f>'Sand.panel_t-1,0'!H28</f>
        <v>2002</v>
      </c>
      <c r="F94" s="3">
        <f>E94/250</f>
        <v>8.0079999999999991</v>
      </c>
      <c r="G94" s="3">
        <f>'Sand.panel_t-1,0'!H411</f>
        <v>8.2240000000000002</v>
      </c>
      <c r="I94" s="3"/>
      <c r="J94" s="3"/>
    </row>
    <row r="97" spans="4:10" ht="18" x14ac:dyDescent="0.35">
      <c r="D97" t="s">
        <v>3</v>
      </c>
      <c r="E97" s="1" t="s">
        <v>114</v>
      </c>
      <c r="F97" s="3" t="s">
        <v>170</v>
      </c>
      <c r="G97" s="3" t="s">
        <v>117</v>
      </c>
    </row>
    <row r="98" spans="4:10" x14ac:dyDescent="0.25">
      <c r="E98">
        <f>'Sand.panel_t-1,0'!I14</f>
        <v>300</v>
      </c>
      <c r="F98" s="3">
        <f>E98/250</f>
        <v>1.2</v>
      </c>
      <c r="G98" s="3">
        <f>'Sand.panel_t-1,0'!I397</f>
        <v>2.5000000000000001E-2</v>
      </c>
      <c r="I98" s="3"/>
      <c r="J98" s="3"/>
    </row>
    <row r="99" spans="4:10" x14ac:dyDescent="0.25">
      <c r="E99">
        <f>'Sand.panel_t-1,0'!I16</f>
        <v>600</v>
      </c>
      <c r="F99" s="3">
        <f t="shared" ref="F99:F103" si="7">E99/250</f>
        <v>2.4</v>
      </c>
      <c r="G99" s="3">
        <f>'Sand.panel_t-1,0'!I399</f>
        <v>0.152</v>
      </c>
      <c r="I99" s="3"/>
      <c r="J99" s="3"/>
    </row>
    <row r="100" spans="4:10" x14ac:dyDescent="0.25">
      <c r="E100">
        <f>'Sand.panel_t-1,0'!I18</f>
        <v>810</v>
      </c>
      <c r="F100" s="3">
        <f t="shared" si="7"/>
        <v>3.24</v>
      </c>
      <c r="G100" s="3">
        <f>'Sand.panel_t-1,0'!I401</f>
        <v>0.374</v>
      </c>
      <c r="I100" s="3"/>
      <c r="J100" s="3"/>
    </row>
    <row r="101" spans="4:10" x14ac:dyDescent="0.25">
      <c r="E101">
        <f>'Sand.panel_t-1,0'!I20</f>
        <v>990</v>
      </c>
      <c r="F101" s="3">
        <f t="shared" si="7"/>
        <v>3.96</v>
      </c>
      <c r="G101" s="3">
        <f>'Sand.panel_t-1,0'!I403</f>
        <v>0.71199999999999997</v>
      </c>
      <c r="I101" s="3"/>
      <c r="J101" s="3"/>
    </row>
    <row r="102" spans="4:10" x14ac:dyDescent="0.25">
      <c r="E102">
        <f>'Sand.panel_t-1,0'!I22</f>
        <v>1230</v>
      </c>
      <c r="F102" s="3">
        <f t="shared" si="7"/>
        <v>4.92</v>
      </c>
      <c r="G102" s="3">
        <f>'Sand.panel_t-1,0'!I405</f>
        <v>1.4850000000000001</v>
      </c>
      <c r="I102" s="3"/>
      <c r="J102" s="3"/>
    </row>
    <row r="103" spans="4:10" x14ac:dyDescent="0.25">
      <c r="E103">
        <f>'Sand.panel_t-1,0'!I24</f>
        <v>1530</v>
      </c>
      <c r="F103" s="3">
        <f t="shared" si="7"/>
        <v>6.12</v>
      </c>
      <c r="G103" s="3">
        <f>'Sand.panel_t-1,0'!I407</f>
        <v>3.2320000000000002</v>
      </c>
      <c r="I103" s="3"/>
      <c r="J103" s="3"/>
    </row>
    <row r="104" spans="4:10" x14ac:dyDescent="0.25">
      <c r="E104">
        <f>'Sand.panel_t-1,0'!I26</f>
        <v>1800</v>
      </c>
      <c r="F104" s="3">
        <f>E104/250</f>
        <v>7.2</v>
      </c>
      <c r="G104" s="3">
        <f>'Sand.panel_t-1,0'!I409</f>
        <v>5.851</v>
      </c>
      <c r="I104" s="3"/>
      <c r="J104" s="3"/>
    </row>
    <row r="105" spans="4:10" x14ac:dyDescent="0.25">
      <c r="E105">
        <f>'Sand.panel_t-1,0'!I28</f>
        <v>2010</v>
      </c>
      <c r="F105" s="3">
        <f>E105/250</f>
        <v>8.0399999999999991</v>
      </c>
      <c r="G105" s="3">
        <f>'Sand.panel_t-1,0'!I411</f>
        <v>8.8219999999999992</v>
      </c>
      <c r="I105" s="3"/>
      <c r="J105" s="3"/>
    </row>
    <row r="108" spans="4:10" ht="18" x14ac:dyDescent="0.35">
      <c r="D108" t="s">
        <v>147</v>
      </c>
      <c r="E108" s="1" t="s">
        <v>114</v>
      </c>
      <c r="F108" s="3" t="s">
        <v>170</v>
      </c>
      <c r="G108" s="3" t="s">
        <v>117</v>
      </c>
    </row>
    <row r="109" spans="4:10" x14ac:dyDescent="0.25">
      <c r="E109">
        <f>'Sand.panel_t-1,0'!J14</f>
        <v>313.2</v>
      </c>
      <c r="F109" s="3">
        <f>E109/250</f>
        <v>1.2527999999999999</v>
      </c>
      <c r="G109" s="3">
        <f>'Sand.panel_t-1,0'!J397</f>
        <v>2.1999999999999999E-2</v>
      </c>
    </row>
    <row r="110" spans="4:10" x14ac:dyDescent="0.25">
      <c r="E110">
        <f>'Sand.panel_t-1,0'!J16</f>
        <v>600.29999999999995</v>
      </c>
      <c r="F110" s="3">
        <f t="shared" ref="F110:F114" si="8">E110/250</f>
        <v>2.4011999999999998</v>
      </c>
      <c r="G110" s="3">
        <f>'Sand.panel_t-1,0'!J399</f>
        <v>0.13200000000000001</v>
      </c>
    </row>
    <row r="111" spans="4:10" x14ac:dyDescent="0.25">
      <c r="E111">
        <f>'Sand.panel_t-1,0'!J18</f>
        <v>809.1</v>
      </c>
      <c r="F111" s="3">
        <f t="shared" si="8"/>
        <v>3.2364000000000002</v>
      </c>
      <c r="G111" s="3">
        <f>'Sand.panel_t-1,0'!J401</f>
        <v>0.33400000000000002</v>
      </c>
    </row>
    <row r="112" spans="4:10" x14ac:dyDescent="0.25">
      <c r="E112">
        <f>'Sand.panel_t-1,0'!J20</f>
        <v>991.8</v>
      </c>
      <c r="F112" s="3">
        <f t="shared" si="8"/>
        <v>3.9671999999999996</v>
      </c>
      <c r="G112" s="3">
        <f>'Sand.panel_t-1,0'!J403</f>
        <v>0.65700000000000003</v>
      </c>
      <c r="I112" s="3"/>
      <c r="J112" s="3"/>
    </row>
    <row r="113" spans="3:10" x14ac:dyDescent="0.25">
      <c r="E113">
        <f>'Sand.panel_t-1,0'!J22</f>
        <v>1226.7</v>
      </c>
      <c r="F113" s="3">
        <f t="shared" si="8"/>
        <v>4.9068000000000005</v>
      </c>
      <c r="G113" s="3">
        <f>'Sand.panel_t-1,0'!J405</f>
        <v>1.38</v>
      </c>
      <c r="I113" s="3"/>
      <c r="J113" s="3"/>
    </row>
    <row r="114" spans="3:10" x14ac:dyDescent="0.25">
      <c r="E114">
        <f>'Sand.panel_t-1,0'!J24</f>
        <v>1539.9</v>
      </c>
      <c r="F114" s="3">
        <f t="shared" si="8"/>
        <v>6.1596000000000002</v>
      </c>
      <c r="G114" s="3">
        <f>'Sand.panel_t-1,0'!J407</f>
        <v>3.1579999999999999</v>
      </c>
      <c r="I114" s="3"/>
      <c r="J114" s="3"/>
    </row>
    <row r="115" spans="3:10" x14ac:dyDescent="0.25">
      <c r="E115">
        <f>'Sand.panel_t-1,0'!J26</f>
        <v>1800.9</v>
      </c>
      <c r="F115" s="3">
        <f>E115/250</f>
        <v>7.2036000000000007</v>
      </c>
      <c r="G115" s="3">
        <f>'Sand.panel_t-1,0'!J409</f>
        <v>5.6559999999999997</v>
      </c>
      <c r="I115" s="3"/>
      <c r="J115" s="3"/>
    </row>
    <row r="116" spans="3:10" x14ac:dyDescent="0.25">
      <c r="E116">
        <f>'Sand.panel_t-1,0'!J28</f>
        <v>2009.7</v>
      </c>
      <c r="F116" s="3">
        <f>E116/250</f>
        <v>8.0388000000000002</v>
      </c>
      <c r="G116" s="3">
        <f>'Sand.panel_t-1,0'!J411</f>
        <v>8.5609999999999999</v>
      </c>
      <c r="I116" s="3"/>
      <c r="J116" s="3"/>
    </row>
    <row r="119" spans="3:10" ht="18" x14ac:dyDescent="0.35">
      <c r="C119" s="41" t="s">
        <v>151</v>
      </c>
      <c r="D119" s="2">
        <f>'Sand.panel_t-1,0'!H35</f>
        <v>5</v>
      </c>
      <c r="E119" t="s">
        <v>113</v>
      </c>
    </row>
    <row r="120" spans="3:10" ht="18" x14ac:dyDescent="0.35">
      <c r="D120" t="s">
        <v>2</v>
      </c>
      <c r="E120" s="1" t="s">
        <v>114</v>
      </c>
      <c r="F120" s="3" t="s">
        <v>170</v>
      </c>
      <c r="G120" s="3" t="s">
        <v>117</v>
      </c>
    </row>
    <row r="121" spans="3:10" x14ac:dyDescent="0.25">
      <c r="E121">
        <f>'Sand.panel_t-1,0'!H14</f>
        <v>308</v>
      </c>
      <c r="F121" s="3">
        <f>E121/250</f>
        <v>1.232</v>
      </c>
      <c r="G121" s="3">
        <f>'Sand.panel_t-1,0'!H453</f>
        <v>1.2999999999999999E-2</v>
      </c>
      <c r="I121" s="3"/>
      <c r="J121" s="3"/>
    </row>
    <row r="122" spans="3:10" x14ac:dyDescent="0.25">
      <c r="E122">
        <f>'Sand.panel_t-1,0'!H16</f>
        <v>594</v>
      </c>
      <c r="F122" s="3">
        <f t="shared" ref="F122:F126" si="9">E122/250</f>
        <v>2.3759999999999999</v>
      </c>
      <c r="G122" s="3">
        <f>'Sand.panel_t-1,0'!H455</f>
        <v>9.5000000000000001E-2</v>
      </c>
      <c r="I122" s="3"/>
      <c r="J122" s="3"/>
    </row>
    <row r="123" spans="3:10" x14ac:dyDescent="0.25">
      <c r="E123">
        <f>'Sand.panel_t-1,0'!H18</f>
        <v>814</v>
      </c>
      <c r="F123" s="3">
        <f t="shared" si="9"/>
        <v>3.2559999999999998</v>
      </c>
      <c r="G123" s="3">
        <f>'Sand.panel_t-1,0'!H457</f>
        <v>0.27700000000000002</v>
      </c>
      <c r="I123" s="3"/>
      <c r="J123" s="3"/>
    </row>
    <row r="124" spans="3:10" x14ac:dyDescent="0.25">
      <c r="E124">
        <f>'Sand.panel_t-1,0'!H20</f>
        <v>990</v>
      </c>
      <c r="F124" s="3">
        <f t="shared" si="9"/>
        <v>3.96</v>
      </c>
      <c r="G124" s="3">
        <f>'Sand.panel_t-1,0'!H459</f>
        <v>0.55800000000000005</v>
      </c>
      <c r="I124" s="3"/>
      <c r="J124" s="3"/>
    </row>
    <row r="125" spans="3:10" x14ac:dyDescent="0.25">
      <c r="E125">
        <f>'Sand.panel_t-1,0'!H22</f>
        <v>1232</v>
      </c>
      <c r="F125" s="3">
        <f t="shared" si="9"/>
        <v>4.9279999999999999</v>
      </c>
      <c r="G125" s="3">
        <f>'Sand.panel_t-1,0'!H461</f>
        <v>1.2569999999999999</v>
      </c>
      <c r="I125" s="3"/>
      <c r="J125" s="3"/>
    </row>
    <row r="126" spans="3:10" x14ac:dyDescent="0.25">
      <c r="E126">
        <f>'Sand.panel_t-1,0'!H24</f>
        <v>1540</v>
      </c>
      <c r="F126" s="3">
        <f t="shared" si="9"/>
        <v>6.16</v>
      </c>
      <c r="G126" s="3">
        <f>'Sand.panel_t-1,0'!H463</f>
        <v>2.9220000000000002</v>
      </c>
      <c r="I126" s="3"/>
      <c r="J126" s="3"/>
    </row>
    <row r="127" spans="3:10" x14ac:dyDescent="0.25">
      <c r="E127">
        <f>'Sand.panel_t-1,0'!H26</f>
        <v>1804</v>
      </c>
      <c r="F127" s="3">
        <f>E127/250</f>
        <v>7.2160000000000002</v>
      </c>
      <c r="G127" s="3">
        <f>'Sand.panel_t-1,0'!H465</f>
        <v>5.3659999999999997</v>
      </c>
      <c r="I127" s="3"/>
      <c r="J127" s="3"/>
    </row>
    <row r="128" spans="3:10" x14ac:dyDescent="0.25">
      <c r="E128">
        <f>'Sand.panel_t-1,0'!H28</f>
        <v>2002</v>
      </c>
      <c r="F128" s="3">
        <f>E128/250</f>
        <v>8.0079999999999991</v>
      </c>
      <c r="G128" s="3">
        <f>'Sand.panel_t-1,0'!H467</f>
        <v>8.0340000000000007</v>
      </c>
      <c r="I128" s="3"/>
      <c r="J128" s="3"/>
    </row>
    <row r="131" spans="4:10" ht="18" x14ac:dyDescent="0.35">
      <c r="D131" t="s">
        <v>3</v>
      </c>
      <c r="E131" s="1" t="s">
        <v>114</v>
      </c>
      <c r="F131" s="3" t="s">
        <v>170</v>
      </c>
      <c r="G131" s="3" t="s">
        <v>117</v>
      </c>
    </row>
    <row r="132" spans="4:10" x14ac:dyDescent="0.25">
      <c r="E132">
        <f>'Sand.panel_t-1,0'!I14</f>
        <v>300</v>
      </c>
      <c r="F132" s="3">
        <f>E132/250</f>
        <v>1.2</v>
      </c>
      <c r="G132" s="3">
        <f>'Sand.panel_t-1,0'!I453</f>
        <v>1.7999999999999999E-2</v>
      </c>
      <c r="I132" s="3"/>
      <c r="J132" s="3"/>
    </row>
    <row r="133" spans="4:10" x14ac:dyDescent="0.25">
      <c r="E133">
        <f>'Sand.panel_t-1,0'!I16</f>
        <v>600</v>
      </c>
      <c r="F133" s="3">
        <f t="shared" ref="F133:F137" si="10">E133/250</f>
        <v>2.4</v>
      </c>
      <c r="G133" s="3">
        <f>'Sand.panel_t-1,0'!I455</f>
        <v>0.124</v>
      </c>
      <c r="I133" s="3"/>
      <c r="J133" s="3"/>
    </row>
    <row r="134" spans="4:10" x14ac:dyDescent="0.25">
      <c r="E134">
        <f>'Sand.panel_t-1,0'!I18</f>
        <v>810</v>
      </c>
      <c r="F134" s="3">
        <f t="shared" si="10"/>
        <v>3.24</v>
      </c>
      <c r="G134" s="3">
        <f>'Sand.panel_t-1,0'!I457</f>
        <v>0.32100000000000001</v>
      </c>
      <c r="I134" s="3"/>
      <c r="J134" s="3"/>
    </row>
    <row r="135" spans="4:10" x14ac:dyDescent="0.25">
      <c r="E135">
        <f>'Sand.panel_t-1,0'!I20</f>
        <v>990</v>
      </c>
      <c r="F135" s="3">
        <f t="shared" si="10"/>
        <v>3.96</v>
      </c>
      <c r="G135" s="3">
        <f>'Sand.panel_t-1,0'!I459</f>
        <v>0.63200000000000001</v>
      </c>
      <c r="I135" s="3"/>
      <c r="J135" s="3"/>
    </row>
    <row r="136" spans="4:10" x14ac:dyDescent="0.25">
      <c r="E136">
        <f>'Sand.panel_t-1,0'!I22</f>
        <v>1230</v>
      </c>
      <c r="F136" s="3">
        <f t="shared" si="10"/>
        <v>4.92</v>
      </c>
      <c r="G136" s="3">
        <f>'Sand.panel_t-1,0'!I461</f>
        <v>1.3620000000000001</v>
      </c>
      <c r="I136" s="3"/>
      <c r="J136" s="3"/>
    </row>
    <row r="137" spans="4:10" x14ac:dyDescent="0.25">
      <c r="E137">
        <f>'Sand.panel_t-1,0'!I24</f>
        <v>1530</v>
      </c>
      <c r="F137" s="3">
        <f t="shared" si="10"/>
        <v>6.12</v>
      </c>
      <c r="G137" s="3">
        <f>'Sand.panel_t-1,0'!I463</f>
        <v>3.0390000000000001</v>
      </c>
      <c r="I137" s="3"/>
      <c r="J137" s="3"/>
    </row>
    <row r="138" spans="4:10" x14ac:dyDescent="0.25">
      <c r="E138">
        <f>'Sand.panel_t-1,0'!I26</f>
        <v>1800</v>
      </c>
      <c r="F138" s="3">
        <f>E138/250</f>
        <v>7.2</v>
      </c>
      <c r="G138" s="3">
        <f>'Sand.panel_t-1,0'!I465</f>
        <v>5.5819999999999999</v>
      </c>
      <c r="I138" s="3"/>
      <c r="J138" s="3"/>
    </row>
    <row r="139" spans="4:10" x14ac:dyDescent="0.25">
      <c r="E139">
        <f>'Sand.panel_t-1,0'!I28</f>
        <v>2010</v>
      </c>
      <c r="F139" s="3">
        <f>E139/250</f>
        <v>8.0399999999999991</v>
      </c>
      <c r="G139" s="3">
        <f>'Sand.panel_t-1,0'!I467</f>
        <v>8.4870000000000001</v>
      </c>
      <c r="I139" s="3"/>
      <c r="J139" s="3"/>
    </row>
    <row r="142" spans="4:10" ht="18" x14ac:dyDescent="0.35">
      <c r="D142" t="s">
        <v>147</v>
      </c>
      <c r="E142" s="1" t="s">
        <v>114</v>
      </c>
      <c r="F142" s="3" t="s">
        <v>170</v>
      </c>
      <c r="G142" s="3" t="s">
        <v>117</v>
      </c>
    </row>
    <row r="143" spans="4:10" x14ac:dyDescent="0.25">
      <c r="E143">
        <f>'Sand.panel_t-1,0'!J14</f>
        <v>313.2</v>
      </c>
      <c r="F143" s="3">
        <f>E143/250</f>
        <v>1.2527999999999999</v>
      </c>
      <c r="G143" s="3">
        <f>'Sand.panel_t-1,0'!J453</f>
        <v>1.7000000000000001E-2</v>
      </c>
    </row>
    <row r="144" spans="4:10" x14ac:dyDescent="0.25">
      <c r="E144">
        <f>'Sand.panel_t-1,0'!J16</f>
        <v>600.29999999999995</v>
      </c>
      <c r="F144" s="3">
        <f t="shared" ref="F144:F148" si="11">E144/250</f>
        <v>2.4011999999999998</v>
      </c>
      <c r="G144" s="3">
        <f>'Sand.panel_t-1,0'!J455</f>
        <v>0.11</v>
      </c>
    </row>
    <row r="145" spans="2:10" x14ac:dyDescent="0.25">
      <c r="E145">
        <f>'Sand.panel_t-1,0'!J18</f>
        <v>809.1</v>
      </c>
      <c r="F145" s="3">
        <f t="shared" si="11"/>
        <v>3.2364000000000002</v>
      </c>
      <c r="G145" s="3">
        <f>'Sand.panel_t-1,0'!J457</f>
        <v>0.29299999999999998</v>
      </c>
    </row>
    <row r="146" spans="2:10" x14ac:dyDescent="0.25">
      <c r="E146">
        <f>'Sand.panel_t-1,0'!J20</f>
        <v>991.8</v>
      </c>
      <c r="F146" s="3">
        <f t="shared" si="11"/>
        <v>3.9671999999999996</v>
      </c>
      <c r="G146" s="3">
        <f>'Sand.panel_t-1,0'!J459</f>
        <v>0.59599999999999997</v>
      </c>
      <c r="I146" s="3"/>
      <c r="J146" s="3"/>
    </row>
    <row r="147" spans="2:10" x14ac:dyDescent="0.25">
      <c r="E147">
        <f>'Sand.panel_t-1,0'!J22</f>
        <v>1226.7</v>
      </c>
      <c r="F147" s="3">
        <f t="shared" si="11"/>
        <v>4.9068000000000005</v>
      </c>
      <c r="G147" s="3">
        <f>'Sand.panel_t-1,0'!J461</f>
        <v>1.286</v>
      </c>
      <c r="I147" s="3"/>
      <c r="J147" s="3"/>
    </row>
    <row r="148" spans="2:10" x14ac:dyDescent="0.25">
      <c r="E148">
        <f>'Sand.panel_t-1,0'!J24</f>
        <v>1539.9</v>
      </c>
      <c r="F148" s="3">
        <f t="shared" si="11"/>
        <v>6.1596000000000002</v>
      </c>
      <c r="G148" s="3">
        <f>'Sand.panel_t-1,0'!J463</f>
        <v>3.008</v>
      </c>
      <c r="I148" s="3"/>
      <c r="J148" s="3"/>
    </row>
    <row r="149" spans="2:10" x14ac:dyDescent="0.25">
      <c r="E149">
        <f>'Sand.panel_t-1,0'!J26</f>
        <v>1800.9</v>
      </c>
      <c r="F149" s="3">
        <f>E149/250</f>
        <v>7.2036000000000007</v>
      </c>
      <c r="G149" s="3">
        <f>'Sand.panel_t-1,0'!J465</f>
        <v>5.45</v>
      </c>
      <c r="I149" s="3"/>
      <c r="J149" s="3"/>
    </row>
    <row r="150" spans="2:10" x14ac:dyDescent="0.25">
      <c r="E150">
        <f>'Sand.panel_t-1,0'!J28</f>
        <v>2009.7</v>
      </c>
      <c r="F150" s="3">
        <f>E150/250</f>
        <v>8.0388000000000002</v>
      </c>
      <c r="G150" s="3">
        <f>'Sand.panel_t-1,0'!J467</f>
        <v>8.3040000000000003</v>
      </c>
      <c r="I150" s="3"/>
      <c r="J150" s="3"/>
    </row>
    <row r="153" spans="2:10" ht="18" x14ac:dyDescent="0.35">
      <c r="B153" s="9" t="s">
        <v>179</v>
      </c>
      <c r="C153" s="9"/>
    </row>
    <row r="154" spans="2:10" ht="18" x14ac:dyDescent="0.35">
      <c r="C154" t="s">
        <v>174</v>
      </c>
    </row>
    <row r="155" spans="2:10" ht="18" x14ac:dyDescent="0.35">
      <c r="C155" s="14" t="s">
        <v>180</v>
      </c>
    </row>
    <row r="159" spans="2:10" ht="18" x14ac:dyDescent="0.35">
      <c r="C159" s="14" t="s">
        <v>182</v>
      </c>
      <c r="J159" s="14" t="s">
        <v>181</v>
      </c>
    </row>
    <row r="163" spans="2:15" x14ac:dyDescent="0.25">
      <c r="F163" t="s">
        <v>2</v>
      </c>
      <c r="G163" t="s">
        <v>3</v>
      </c>
      <c r="H163" t="s">
        <v>147</v>
      </c>
      <c r="J163" s="57" t="s">
        <v>197</v>
      </c>
      <c r="K163" s="58"/>
      <c r="L163" s="58"/>
    </row>
    <row r="164" spans="2:15" x14ac:dyDescent="0.25">
      <c r="D164" s="55" t="s">
        <v>8</v>
      </c>
      <c r="E164" t="s">
        <v>10</v>
      </c>
      <c r="F164" s="3">
        <f>'Sand.panel_t-1,0'!H11</f>
        <v>43.956912738880717</v>
      </c>
      <c r="G164" s="3">
        <f>'Sand.panel_t-1,0'!I11</f>
        <v>35.264389682754654</v>
      </c>
      <c r="H164" s="3">
        <f>'Sand.panel_t-1,0'!J11</f>
        <v>39.103052282294968</v>
      </c>
      <c r="J164" s="59"/>
      <c r="K164" s="60" t="s">
        <v>198</v>
      </c>
      <c r="L164" s="58"/>
    </row>
    <row r="165" spans="2:15" ht="18" x14ac:dyDescent="0.35">
      <c r="F165" s="41" t="s">
        <v>101</v>
      </c>
      <c r="G165"/>
      <c r="H165"/>
    </row>
    <row r="166" spans="2:15" x14ac:dyDescent="0.25">
      <c r="D166" s="1" t="s">
        <v>177</v>
      </c>
      <c r="E166" t="s">
        <v>62</v>
      </c>
      <c r="F166">
        <f>(G26-G25)/(E26-E25)</f>
        <v>1.404545454545454E-2</v>
      </c>
      <c r="G166">
        <f>(G37-G36)/(E37-E36)</f>
        <v>1.4833333333333334E-2</v>
      </c>
      <c r="H166">
        <f>(G48-G47)/(E48-E47)</f>
        <v>1.4439655172413794E-2</v>
      </c>
      <c r="K166">
        <f t="shared" ref="K166:L188" si="12">G166</f>
        <v>1.4833333333333334E-2</v>
      </c>
      <c r="L166">
        <f t="shared" si="12"/>
        <v>1.4439655172413794E-2</v>
      </c>
      <c r="M166">
        <f t="shared" ref="M166:M188" si="13">F166</f>
        <v>1.404545454545454E-2</v>
      </c>
    </row>
    <row r="167" spans="2:15" x14ac:dyDescent="0.25">
      <c r="B167" s="42" t="s">
        <v>194</v>
      </c>
      <c r="D167" s="51" t="s">
        <v>178</v>
      </c>
      <c r="E167" t="s">
        <v>62</v>
      </c>
      <c r="F167" s="3">
        <f>G25-E25*(G26-G25)/(E26-E25)</f>
        <v>-19.48599999999999</v>
      </c>
      <c r="G167" s="3">
        <f>G36-E36*(G37-G36)/(E37-E36)</f>
        <v>-20.273</v>
      </c>
      <c r="H167" s="3">
        <f>G47-E47*(G48-G47)/(E48-E47)</f>
        <v>-19.906375000000004</v>
      </c>
      <c r="K167">
        <f t="shared" si="12"/>
        <v>-20.273</v>
      </c>
      <c r="L167">
        <f t="shared" si="12"/>
        <v>-19.906375000000004</v>
      </c>
      <c r="M167">
        <f t="shared" si="13"/>
        <v>-19.48599999999999</v>
      </c>
    </row>
    <row r="168" spans="2:15" ht="18" x14ac:dyDescent="0.35">
      <c r="B168" s="56" t="s">
        <v>190</v>
      </c>
      <c r="D168" s="52" t="s">
        <v>183</v>
      </c>
      <c r="E168" t="s">
        <v>6</v>
      </c>
      <c r="F168" s="11">
        <f>F167/(1/250-F166)</f>
        <v>1939.7828054298643</v>
      </c>
      <c r="G168" s="11">
        <f>G167/(1/250-G166)</f>
        <v>1871.353846153846</v>
      </c>
      <c r="H168" s="11">
        <f>H167/(1/250-H166)</f>
        <v>1906.8038810900084</v>
      </c>
    </row>
    <row r="169" spans="2:15" ht="18" x14ac:dyDescent="0.35">
      <c r="B169" s="56" t="s">
        <v>191</v>
      </c>
      <c r="D169" s="54" t="s">
        <v>189</v>
      </c>
      <c r="F169" s="3">
        <f>F168/'Sand.panel_t-1,0'!H$8</f>
        <v>88.171945701357473</v>
      </c>
      <c r="G169" s="3">
        <f>G168/'Sand.panel_t-1,0'!I$8</f>
        <v>62.378461538461536</v>
      </c>
      <c r="H169" s="3">
        <f>H168/'Sand.panel_t-1,0'!J$8</f>
        <v>73.057619965134421</v>
      </c>
    </row>
    <row r="170" spans="2:15" x14ac:dyDescent="0.25">
      <c r="B170" s="56" t="s">
        <v>192</v>
      </c>
      <c r="D170" s="1" t="s">
        <v>12</v>
      </c>
      <c r="F170" s="11">
        <f>FLOOR(F169,1)</f>
        <v>88</v>
      </c>
      <c r="G170" s="11">
        <f t="shared" ref="G170:H170" si="14">FLOOR(G169,1)</f>
        <v>62</v>
      </c>
      <c r="H170" s="11">
        <f t="shared" si="14"/>
        <v>73</v>
      </c>
    </row>
    <row r="171" spans="2:15" ht="18" x14ac:dyDescent="0.35">
      <c r="B171" s="56" t="s">
        <v>193</v>
      </c>
      <c r="D171" s="54" t="s">
        <v>183</v>
      </c>
      <c r="E171" t="s">
        <v>6</v>
      </c>
      <c r="F171" s="2">
        <f>F170*'Sand.panel_t-1,0'!H$8</f>
        <v>1936</v>
      </c>
      <c r="G171" s="2">
        <f>G170*'Sand.panel_t-1,0'!I$8</f>
        <v>1860</v>
      </c>
      <c r="H171" s="2">
        <f>H170*'Sand.panel_t-1,0'!J$8</f>
        <v>1905.3000000000002</v>
      </c>
    </row>
    <row r="172" spans="2:15" ht="18" x14ac:dyDescent="0.35">
      <c r="C172" s="44"/>
      <c r="F172" s="41" t="s">
        <v>176</v>
      </c>
    </row>
    <row r="173" spans="2:15" x14ac:dyDescent="0.25">
      <c r="D173" s="1" t="s">
        <v>177</v>
      </c>
      <c r="E173" t="s">
        <v>62</v>
      </c>
      <c r="F173">
        <f>(G60-G59)/(E60-E59)</f>
        <v>1.381313131313131E-2</v>
      </c>
      <c r="G173">
        <f>(G71-G70)/(E71-E70)</f>
        <v>1.4419047619047618E-2</v>
      </c>
      <c r="H173">
        <f>(G82-G81)/(E82-E81)</f>
        <v>1.4118773946360158E-2</v>
      </c>
      <c r="K173">
        <f t="shared" si="12"/>
        <v>1.4419047619047618E-2</v>
      </c>
      <c r="L173">
        <f t="shared" si="12"/>
        <v>1.4118773946360158E-2</v>
      </c>
      <c r="M173">
        <f t="shared" si="13"/>
        <v>1.381313131313131E-2</v>
      </c>
    </row>
    <row r="174" spans="2:15" x14ac:dyDescent="0.25">
      <c r="D174" s="51" t="s">
        <v>178</v>
      </c>
      <c r="E174" t="s">
        <v>62</v>
      </c>
      <c r="F174" s="3">
        <f>G59-E59*(G60-G59)/(E60-E59)</f>
        <v>-19.268888888888881</v>
      </c>
      <c r="G174" s="3">
        <f>G70-E70*(G71-G70)/(E71-E70)</f>
        <v>-19.876285714285714</v>
      </c>
      <c r="H174" s="3">
        <f>G81-E81*(G82-G81)/(E82-E81)</f>
        <v>-19.596500000000013</v>
      </c>
      <c r="K174">
        <f t="shared" si="12"/>
        <v>-19.876285714285714</v>
      </c>
      <c r="L174">
        <f t="shared" si="12"/>
        <v>-19.596500000000013</v>
      </c>
      <c r="M174">
        <f t="shared" si="13"/>
        <v>-19.268888888888881</v>
      </c>
      <c r="N174" s="44"/>
      <c r="O174" s="44"/>
    </row>
    <row r="175" spans="2:15" ht="18" x14ac:dyDescent="0.35">
      <c r="C175" s="44"/>
      <c r="D175" s="52" t="s">
        <v>183</v>
      </c>
      <c r="E175" t="s">
        <v>6</v>
      </c>
      <c r="F175" s="11">
        <f>F174/(1/250-F173)</f>
        <v>1963.5820895522386</v>
      </c>
      <c r="G175" s="11">
        <f>G174/(1/250-G173)</f>
        <v>1907.6873857404025</v>
      </c>
      <c r="H175" s="11">
        <f>H174/(1/250-H173)</f>
        <v>1936.6476713366153</v>
      </c>
      <c r="N175" s="44"/>
      <c r="O175" s="44"/>
    </row>
    <row r="176" spans="2:15" ht="18" x14ac:dyDescent="0.35">
      <c r="C176" s="44"/>
      <c r="D176" s="54" t="s">
        <v>189</v>
      </c>
      <c r="F176" s="3">
        <f>F175/'Sand.panel_t-1,0'!H$8</f>
        <v>89.253731343283576</v>
      </c>
      <c r="G176" s="3">
        <f>G175/'Sand.panel_t-1,0'!I$8</f>
        <v>63.589579524680083</v>
      </c>
      <c r="H176" s="3">
        <f>H175/'Sand.panel_t-1,0'!J$8</f>
        <v>74.201060204468021</v>
      </c>
      <c r="N176" s="44"/>
      <c r="O176" s="44"/>
    </row>
    <row r="177" spans="3:15" x14ac:dyDescent="0.25">
      <c r="C177" s="44"/>
      <c r="D177" s="1" t="s">
        <v>12</v>
      </c>
      <c r="F177" s="11">
        <f>FLOOR(F176,1)</f>
        <v>89</v>
      </c>
      <c r="G177" s="11">
        <f t="shared" ref="G177" si="15">FLOOR(G176,1)</f>
        <v>63</v>
      </c>
      <c r="H177" s="11">
        <f t="shared" ref="H177" si="16">FLOOR(H176,1)</f>
        <v>74</v>
      </c>
      <c r="N177" s="44"/>
      <c r="O177" s="44"/>
    </row>
    <row r="178" spans="3:15" ht="18" x14ac:dyDescent="0.35">
      <c r="C178" s="44"/>
      <c r="D178" s="54" t="s">
        <v>183</v>
      </c>
      <c r="E178" t="s">
        <v>6</v>
      </c>
      <c r="F178" s="2">
        <f>F177*'Sand.panel_t-1,0'!H$8</f>
        <v>1958</v>
      </c>
      <c r="G178" s="2">
        <f>G177*'Sand.panel_t-1,0'!I$8</f>
        <v>1890</v>
      </c>
      <c r="H178" s="2">
        <f>H177*'Sand.panel_t-1,0'!J$8</f>
        <v>1931.4</v>
      </c>
      <c r="N178" s="44"/>
      <c r="O178" s="44"/>
    </row>
    <row r="179" spans="3:15" ht="18" x14ac:dyDescent="0.35">
      <c r="F179" s="41" t="s">
        <v>175</v>
      </c>
      <c r="N179" s="44"/>
      <c r="O179" s="44"/>
    </row>
    <row r="180" spans="3:15" x14ac:dyDescent="0.25">
      <c r="D180" s="1" t="s">
        <v>177</v>
      </c>
      <c r="E180" t="s">
        <v>62</v>
      </c>
      <c r="F180">
        <f>(G94-G93)/(E94-E93)</f>
        <v>1.365656565656566E-2</v>
      </c>
      <c r="G180">
        <f>(G105-G104)/(E105-E104)</f>
        <v>1.4147619047619044E-2</v>
      </c>
      <c r="H180">
        <f>(G116-G115)/(E116-E115)</f>
        <v>1.391283524904215E-2</v>
      </c>
      <c r="K180">
        <f t="shared" si="12"/>
        <v>1.4147619047619044E-2</v>
      </c>
      <c r="L180">
        <f t="shared" si="12"/>
        <v>1.391283524904215E-2</v>
      </c>
      <c r="M180">
        <f t="shared" si="13"/>
        <v>1.365656565656566E-2</v>
      </c>
      <c r="N180" s="44"/>
      <c r="O180" s="44"/>
    </row>
    <row r="181" spans="3:15" x14ac:dyDescent="0.25">
      <c r="D181" s="51" t="s">
        <v>178</v>
      </c>
      <c r="E181" t="s">
        <v>62</v>
      </c>
      <c r="F181" s="3">
        <f>G93-E93*(G94-G93)/(E94-E93)</f>
        <v>-19.116444444444451</v>
      </c>
      <c r="G181" s="3">
        <f>G104-E104*(G105-G104)/(E105-E104)</f>
        <v>-19.614714285714278</v>
      </c>
      <c r="H181" s="3">
        <f>G115-E115*(G116-G115)/(E116-E115)</f>
        <v>-19.399625000000011</v>
      </c>
      <c r="K181">
        <f t="shared" si="12"/>
        <v>-19.614714285714278</v>
      </c>
      <c r="L181">
        <f t="shared" si="12"/>
        <v>-19.399625000000011</v>
      </c>
      <c r="M181">
        <f t="shared" si="13"/>
        <v>-19.116444444444451</v>
      </c>
      <c r="N181" s="44"/>
      <c r="O181" s="44"/>
    </row>
    <row r="182" spans="3:15" ht="18" x14ac:dyDescent="0.35">
      <c r="D182" s="52" t="s">
        <v>183</v>
      </c>
      <c r="E182" t="s">
        <v>6</v>
      </c>
      <c r="F182" s="11">
        <f>F181/(1/250-F180)</f>
        <v>1979.6317991631797</v>
      </c>
      <c r="G182" s="11">
        <f>G181/(1/250-G180)</f>
        <v>1932.9375879868605</v>
      </c>
      <c r="H182" s="11">
        <f>H181/(1/250-H180)</f>
        <v>1957.0208232679488</v>
      </c>
      <c r="N182" s="44"/>
      <c r="O182" s="44"/>
    </row>
    <row r="183" spans="3:15" ht="18" x14ac:dyDescent="0.35">
      <c r="D183" s="54" t="s">
        <v>189</v>
      </c>
      <c r="F183" s="3">
        <f>F182/'Sand.panel_t-1,0'!H$8</f>
        <v>89.983263598326346</v>
      </c>
      <c r="G183" s="3">
        <f>G182/'Sand.panel_t-1,0'!I$8</f>
        <v>64.431252932895347</v>
      </c>
      <c r="H183" s="3">
        <f>H182/'Sand.panel_t-1,0'!J$8</f>
        <v>74.981640738235583</v>
      </c>
      <c r="N183" s="44"/>
      <c r="O183" s="44"/>
    </row>
    <row r="184" spans="3:15" x14ac:dyDescent="0.25">
      <c r="D184" s="1" t="s">
        <v>12</v>
      </c>
      <c r="F184" s="61">
        <v>90</v>
      </c>
      <c r="G184" s="11">
        <f t="shared" ref="G184" si="17">FLOOR(G183,1)</f>
        <v>64</v>
      </c>
      <c r="H184" s="61">
        <v>75</v>
      </c>
      <c r="N184" s="44"/>
      <c r="O184" s="44"/>
    </row>
    <row r="185" spans="3:15" ht="18" x14ac:dyDescent="0.35">
      <c r="D185" s="54" t="s">
        <v>183</v>
      </c>
      <c r="E185" t="s">
        <v>6</v>
      </c>
      <c r="F185" s="2">
        <f>F184*'Sand.panel_t-1,0'!H$8</f>
        <v>1980</v>
      </c>
      <c r="G185" s="2">
        <f>G184*'Sand.panel_t-1,0'!I$8</f>
        <v>1920</v>
      </c>
      <c r="H185" s="2">
        <f>H184*'Sand.panel_t-1,0'!J$8</f>
        <v>1957.5</v>
      </c>
      <c r="N185" s="44"/>
      <c r="O185" s="44"/>
    </row>
    <row r="186" spans="3:15" ht="18" x14ac:dyDescent="0.35">
      <c r="F186" s="41" t="s">
        <v>184</v>
      </c>
      <c r="N186" s="44"/>
      <c r="O186" s="44"/>
    </row>
    <row r="187" spans="3:15" x14ac:dyDescent="0.25">
      <c r="D187" s="1" t="s">
        <v>177</v>
      </c>
      <c r="E187" t="s">
        <v>62</v>
      </c>
      <c r="F187">
        <f>(G128-G127)/(E128-E127)</f>
        <v>1.347474747474748E-2</v>
      </c>
      <c r="G187">
        <f>(G139-G138)/(E139-E138)</f>
        <v>1.3833333333333335E-2</v>
      </c>
      <c r="H187">
        <f>(G150-G149)/(E150-E149)</f>
        <v>1.3668582375478931E-2</v>
      </c>
      <c r="K187">
        <f t="shared" si="12"/>
        <v>1.3833333333333335E-2</v>
      </c>
      <c r="L187">
        <f t="shared" si="12"/>
        <v>1.3668582375478931E-2</v>
      </c>
      <c r="M187">
        <f t="shared" si="13"/>
        <v>1.347474747474748E-2</v>
      </c>
      <c r="N187" s="44"/>
      <c r="O187" s="44"/>
    </row>
    <row r="188" spans="3:15" x14ac:dyDescent="0.25">
      <c r="D188" s="51" t="s">
        <v>178</v>
      </c>
      <c r="E188" t="s">
        <v>62</v>
      </c>
      <c r="F188" s="3">
        <f>G127-E127*(G128-G127)/(E128-E127)</f>
        <v>-18.942444444444455</v>
      </c>
      <c r="G188" s="3">
        <f>G138-E138*(G139-G138)/(E139-E138)</f>
        <v>-19.317999999999998</v>
      </c>
      <c r="H188" s="3">
        <f>G149-E149*(G150-G149)/(E150-E149)</f>
        <v>-19.165750000000006</v>
      </c>
      <c r="K188">
        <f t="shared" si="12"/>
        <v>-19.317999999999998</v>
      </c>
      <c r="L188">
        <f t="shared" si="12"/>
        <v>-19.165750000000006</v>
      </c>
      <c r="M188">
        <f t="shared" si="13"/>
        <v>-18.942444444444455</v>
      </c>
      <c r="N188" s="44"/>
      <c r="O188" s="44"/>
    </row>
    <row r="189" spans="3:15" ht="18" x14ac:dyDescent="0.35">
      <c r="D189" s="52" t="s">
        <v>183</v>
      </c>
      <c r="E189" t="s">
        <v>6</v>
      </c>
      <c r="F189" s="11">
        <f>F188/(1/250-F187)</f>
        <v>1999.2558635394457</v>
      </c>
      <c r="G189" s="11">
        <f>G188/(1/250-G187)</f>
        <v>1964.5423728813555</v>
      </c>
      <c r="H189" s="11">
        <f>H188/(1/250-H187)</f>
        <v>1982.2709530414106</v>
      </c>
      <c r="N189" s="44"/>
      <c r="O189" s="44"/>
    </row>
    <row r="190" spans="3:15" ht="18" x14ac:dyDescent="0.35">
      <c r="D190" s="54" t="s">
        <v>189</v>
      </c>
      <c r="F190" s="3">
        <f>F189/'Sand.panel_t-1,0'!H$8</f>
        <v>90.875266524520256</v>
      </c>
      <c r="G190" s="3">
        <f>G189/'Sand.panel_t-1,0'!I$8</f>
        <v>65.484745762711853</v>
      </c>
      <c r="H190" s="3">
        <f>H189/'Sand.panel_t-1,0'!J$8</f>
        <v>75.949078660590445</v>
      </c>
    </row>
    <row r="191" spans="3:15" x14ac:dyDescent="0.25">
      <c r="D191" s="1" t="s">
        <v>12</v>
      </c>
      <c r="F191" s="11">
        <f>FLOOR(F190,1)</f>
        <v>90</v>
      </c>
      <c r="G191" s="11">
        <f t="shared" ref="G191" si="18">FLOOR(G190,1)</f>
        <v>65</v>
      </c>
      <c r="H191" s="61">
        <v>76</v>
      </c>
    </row>
    <row r="192" spans="3:15" ht="18" x14ac:dyDescent="0.35">
      <c r="D192" s="54" t="s">
        <v>183</v>
      </c>
      <c r="E192" t="s">
        <v>6</v>
      </c>
      <c r="F192" s="2">
        <f>F191*'Sand.panel_t-1,0'!H$8</f>
        <v>1980</v>
      </c>
      <c r="G192" s="2">
        <f>G191*'Sand.panel_t-1,0'!I$8</f>
        <v>1950</v>
      </c>
      <c r="H192" s="2">
        <f>H191*'Sand.panel_t-1,0'!J$8</f>
        <v>1983.6000000000001</v>
      </c>
    </row>
    <row r="195" spans="2:9" x14ac:dyDescent="0.25">
      <c r="B195" s="53" t="s">
        <v>185</v>
      </c>
      <c r="C195" s="53"/>
      <c r="D195" s="53"/>
    </row>
    <row r="198" spans="2:9" x14ac:dyDescent="0.25">
      <c r="D198" t="s">
        <v>195</v>
      </c>
    </row>
    <row r="199" spans="2:9" ht="18" x14ac:dyDescent="0.35">
      <c r="D199" s="52" t="s">
        <v>183</v>
      </c>
      <c r="F199" s="54" t="s">
        <v>101</v>
      </c>
      <c r="G199" s="54" t="s">
        <v>186</v>
      </c>
      <c r="H199" s="54" t="s">
        <v>187</v>
      </c>
      <c r="I199" s="54" t="s">
        <v>188</v>
      </c>
    </row>
    <row r="200" spans="2:9" x14ac:dyDescent="0.25">
      <c r="E200" s="4" t="s">
        <v>8</v>
      </c>
    </row>
    <row r="201" spans="2:9" x14ac:dyDescent="0.25">
      <c r="D201" t="str">
        <f>G163</f>
        <v>CELLA 4</v>
      </c>
      <c r="E201" s="3">
        <f>G164</f>
        <v>35.264389682754654</v>
      </c>
      <c r="F201" s="11">
        <f>G168</f>
        <v>1871.353846153846</v>
      </c>
      <c r="G201" s="11">
        <f>G175</f>
        <v>1907.6873857404025</v>
      </c>
      <c r="H201" s="11">
        <f>G182</f>
        <v>1932.9375879868605</v>
      </c>
      <c r="I201" s="11">
        <f>G189</f>
        <v>1964.5423728813555</v>
      </c>
    </row>
    <row r="202" spans="2:9" x14ac:dyDescent="0.25">
      <c r="D202" t="str">
        <f>H163</f>
        <v>CELLA 5</v>
      </c>
      <c r="E202" s="3">
        <f>H164</f>
        <v>39.103052282294968</v>
      </c>
      <c r="F202" s="11">
        <f>H168</f>
        <v>1906.8038810900084</v>
      </c>
      <c r="G202" s="11">
        <f>H175</f>
        <v>1936.6476713366153</v>
      </c>
      <c r="H202" s="11">
        <f>H182</f>
        <v>1957.0208232679488</v>
      </c>
      <c r="I202" s="11">
        <f>H189</f>
        <v>1982.2709530414106</v>
      </c>
    </row>
    <row r="203" spans="2:9" x14ac:dyDescent="0.25">
      <c r="D203" t="str">
        <f>F163</f>
        <v>CELLA 2</v>
      </c>
      <c r="E203" s="3">
        <f>F164</f>
        <v>43.956912738880717</v>
      </c>
      <c r="F203" s="11">
        <f>F168</f>
        <v>1939.7828054298643</v>
      </c>
      <c r="G203" s="11">
        <f>F175</f>
        <v>1963.5820895522386</v>
      </c>
      <c r="H203" s="11">
        <f>F182</f>
        <v>1979.6317991631797</v>
      </c>
      <c r="I203" s="11">
        <f>F189</f>
        <v>1999.2558635394457</v>
      </c>
    </row>
    <row r="205" spans="2:9" x14ac:dyDescent="0.25">
      <c r="D205" t="s">
        <v>196</v>
      </c>
    </row>
    <row r="206" spans="2:9" ht="18" x14ac:dyDescent="0.35">
      <c r="D206" s="52" t="s">
        <v>183</v>
      </c>
      <c r="F206" s="54" t="s">
        <v>101</v>
      </c>
      <c r="G206" s="54" t="s">
        <v>176</v>
      </c>
      <c r="H206" s="54" t="s">
        <v>175</v>
      </c>
      <c r="I206" s="54" t="s">
        <v>184</v>
      </c>
    </row>
    <row r="207" spans="2:9" x14ac:dyDescent="0.25">
      <c r="E207" s="4" t="s">
        <v>8</v>
      </c>
    </row>
    <row r="208" spans="2:9" x14ac:dyDescent="0.25">
      <c r="D208" t="str">
        <f>G163</f>
        <v>CELLA 4</v>
      </c>
      <c r="E208" s="3">
        <f>G164</f>
        <v>35.264389682754654</v>
      </c>
      <c r="F208" s="11">
        <f>G171</f>
        <v>1860</v>
      </c>
      <c r="G208" s="11">
        <f>G178</f>
        <v>1890</v>
      </c>
      <c r="H208" s="11">
        <f>G185</f>
        <v>1920</v>
      </c>
      <c r="I208" s="11">
        <f>G192</f>
        <v>1950</v>
      </c>
    </row>
    <row r="209" spans="4:9" x14ac:dyDescent="0.25">
      <c r="D209" t="str">
        <f>H163</f>
        <v>CELLA 5</v>
      </c>
      <c r="E209" s="3">
        <f>H164</f>
        <v>39.103052282294968</v>
      </c>
      <c r="F209" s="11">
        <f>H171</f>
        <v>1905.3000000000002</v>
      </c>
      <c r="G209" s="11">
        <f>H178</f>
        <v>1931.4</v>
      </c>
      <c r="H209" s="11">
        <f>H185</f>
        <v>1957.5</v>
      </c>
      <c r="I209" s="11">
        <f>H192</f>
        <v>1983.6000000000001</v>
      </c>
    </row>
    <row r="210" spans="4:9" x14ac:dyDescent="0.25">
      <c r="D210" t="str">
        <f>F163</f>
        <v>CELLA 2</v>
      </c>
      <c r="E210" s="3">
        <f>F164</f>
        <v>43.956912738880717</v>
      </c>
      <c r="F210" s="11">
        <f>F171</f>
        <v>1936</v>
      </c>
      <c r="G210" s="11">
        <f>F178</f>
        <v>1958</v>
      </c>
      <c r="H210" s="11">
        <f>F185</f>
        <v>1980</v>
      </c>
      <c r="I210" s="11">
        <f>F192</f>
        <v>1980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12583-28C5-477F-BB86-5DD2EB76C9A9}">
  <dimension ref="B1:J133"/>
  <sheetViews>
    <sheetView topLeftCell="A67" zoomScale="55" zoomScaleNormal="55" workbookViewId="0">
      <selection activeCell="B17" sqref="B17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8" max="8" width="9.140625" style="24"/>
    <col min="10" max="10" width="9.140625" customWidth="1"/>
    <col min="15" max="15" width="9.140625" customWidth="1"/>
  </cols>
  <sheetData>
    <row r="1" spans="2:10" ht="8.1" customHeight="1" x14ac:dyDescent="0.25"/>
    <row r="2" spans="2:10" ht="18.75" x14ac:dyDescent="0.3">
      <c r="B2" s="30" t="s">
        <v>107</v>
      </c>
      <c r="C2" s="29"/>
      <c r="D2" s="29"/>
      <c r="E2" s="29"/>
      <c r="F2" s="29"/>
    </row>
    <row r="4" spans="2:10" x14ac:dyDescent="0.25">
      <c r="B4" t="s">
        <v>108</v>
      </c>
    </row>
    <row r="5" spans="2:10" x14ac:dyDescent="0.25">
      <c r="B5" t="s">
        <v>109</v>
      </c>
    </row>
    <row r="7" spans="2:10" x14ac:dyDescent="0.25">
      <c r="E7" t="s">
        <v>110</v>
      </c>
      <c r="F7" s="14" t="s">
        <v>111</v>
      </c>
    </row>
    <row r="8" spans="2:10" x14ac:dyDescent="0.25">
      <c r="F8" s="14" t="s">
        <v>112</v>
      </c>
    </row>
    <row r="11" spans="2:10" ht="18" x14ac:dyDescent="0.35">
      <c r="C11" s="40" t="s">
        <v>99</v>
      </c>
      <c r="D11" s="2">
        <f>'Sand.panel_t-1,0'!H36</f>
        <v>1</v>
      </c>
      <c r="E11" t="s">
        <v>113</v>
      </c>
    </row>
    <row r="12" spans="2:10" ht="18" x14ac:dyDescent="0.35">
      <c r="C12" s="41" t="s">
        <v>101</v>
      </c>
      <c r="D12" s="2">
        <f>'Sand.panel_t-1,0'!H32</f>
        <v>3</v>
      </c>
      <c r="E12" t="s">
        <v>113</v>
      </c>
    </row>
    <row r="13" spans="2:10" ht="18" x14ac:dyDescent="0.35">
      <c r="D13" t="s">
        <v>2</v>
      </c>
      <c r="E13" s="1" t="s">
        <v>114</v>
      </c>
      <c r="F13" t="s">
        <v>115</v>
      </c>
      <c r="G13" t="s">
        <v>116</v>
      </c>
      <c r="H13" s="24" t="s">
        <v>117</v>
      </c>
      <c r="I13" t="s">
        <v>118</v>
      </c>
      <c r="J13" t="s">
        <v>152</v>
      </c>
    </row>
    <row r="14" spans="2:10" x14ac:dyDescent="0.25">
      <c r="E14">
        <f>'Sand.panel_t-1,0'!H14</f>
        <v>308</v>
      </c>
      <c r="F14" s="24">
        <f>'Sand.panel_t-1,0'!H266</f>
        <v>3.7118538595011423E-3</v>
      </c>
      <c r="G14">
        <f t="shared" ref="G14:G19" si="0">F14/F14</f>
        <v>1</v>
      </c>
      <c r="H14" s="24">
        <f>'Sand.panel_t-1,0'!H285</f>
        <v>2.5999999999999999E-2</v>
      </c>
      <c r="I14" s="3">
        <f t="shared" ref="I14:I19" si="1">H14/F14</f>
        <v>7.0045861136069325</v>
      </c>
      <c r="J14" s="3">
        <f>F14/H14</f>
        <v>0.14276360998081317</v>
      </c>
    </row>
    <row r="15" spans="2:10" x14ac:dyDescent="0.25">
      <c r="E15">
        <f>'Sand.panel_t-1,0'!H16</f>
        <v>594</v>
      </c>
      <c r="F15" s="24">
        <f>'Sand.panel_t-1,0'!H268</f>
        <v>5.1349211967595447E-2</v>
      </c>
      <c r="G15">
        <f t="shared" si="0"/>
        <v>1</v>
      </c>
      <c r="H15" s="24">
        <f>'Sand.panel_t-1,0'!H287</f>
        <v>0.14599999999999999</v>
      </c>
      <c r="I15" s="3">
        <f t="shared" si="1"/>
        <v>2.8432763504167324</v>
      </c>
      <c r="J15" s="3">
        <f t="shared" ref="J15:J17" si="2">F15/H15</f>
        <v>0.35170693128490033</v>
      </c>
    </row>
    <row r="16" spans="2:10" x14ac:dyDescent="0.25">
      <c r="E16">
        <f>'Sand.panel_t-1,0'!H18</f>
        <v>814</v>
      </c>
      <c r="F16" s="24">
        <f>'Sand.panel_t-1,0'!H270</f>
        <v>0.18108631146336215</v>
      </c>
      <c r="G16">
        <f t="shared" si="0"/>
        <v>1</v>
      </c>
      <c r="H16" s="24">
        <f>'Sand.panel_t-1,0'!H289</f>
        <v>0.374</v>
      </c>
      <c r="I16" s="3">
        <f t="shared" si="1"/>
        <v>2.0653134793994004</v>
      </c>
      <c r="J16" s="3">
        <f t="shared" si="2"/>
        <v>0.48418799856513944</v>
      </c>
    </row>
    <row r="17" spans="4:10" x14ac:dyDescent="0.25">
      <c r="E17">
        <f>'Sand.panel_t-1,0'!H20</f>
        <v>990</v>
      </c>
      <c r="F17" s="24">
        <f>'Sand.panel_t-1,0'!H272</f>
        <v>0.39621305530552042</v>
      </c>
      <c r="G17">
        <f t="shared" si="0"/>
        <v>1</v>
      </c>
      <c r="H17" s="24">
        <f>'Sand.panel_t-1,0'!H291</f>
        <v>0.70199999999999996</v>
      </c>
      <c r="I17" s="3">
        <f t="shared" si="1"/>
        <v>1.7717740256153014</v>
      </c>
      <c r="J17" s="3">
        <f t="shared" si="2"/>
        <v>0.56440606168877561</v>
      </c>
    </row>
    <row r="18" spans="4:10" x14ac:dyDescent="0.25">
      <c r="E18">
        <f>'Sand.panel_t-1,0'!H22</f>
        <v>1232</v>
      </c>
      <c r="F18" s="24">
        <f>'Sand.panel_t-1,0'!H274</f>
        <v>0.95023458803229244</v>
      </c>
      <c r="G18">
        <f t="shared" si="0"/>
        <v>1</v>
      </c>
      <c r="H18" s="24">
        <f>'Sand.panel_t-1,0'!H293</f>
        <v>1.4810000000000001</v>
      </c>
      <c r="I18" s="3">
        <f t="shared" si="1"/>
        <v>1.5585625051460139</v>
      </c>
      <c r="J18" s="3">
        <f>F18/H18</f>
        <v>0.64161687240532905</v>
      </c>
    </row>
    <row r="19" spans="4:10" x14ac:dyDescent="0.25">
      <c r="E19">
        <f>'Sand.panel_t-1,0'!H24</f>
        <v>1540</v>
      </c>
      <c r="F19" s="24">
        <f>'Sand.panel_t-1,0'!H276</f>
        <v>2.3199086621882139</v>
      </c>
      <c r="G19">
        <f t="shared" si="0"/>
        <v>1</v>
      </c>
      <c r="H19" s="24">
        <f>'Sand.panel_t-1,0'!H295</f>
        <v>3.274</v>
      </c>
      <c r="I19" s="3">
        <f t="shared" si="1"/>
        <v>1.4112624575968675</v>
      </c>
      <c r="J19" s="3">
        <f>F19/H19</f>
        <v>0.70858541911674222</v>
      </c>
    </row>
    <row r="20" spans="4:10" x14ac:dyDescent="0.25">
      <c r="E20">
        <f>'Sand.panel_t-1,0'!H26</f>
        <v>1804</v>
      </c>
      <c r="F20" s="24">
        <f>'Sand.panel_t-1,0'!H278</f>
        <v>4.3685180649220356</v>
      </c>
      <c r="G20">
        <f>F20/F20</f>
        <v>1</v>
      </c>
      <c r="H20" s="24">
        <f>'Sand.panel_t-1,0'!H297</f>
        <v>5.8520000000000003</v>
      </c>
      <c r="I20" s="3">
        <f>H20/F20</f>
        <v>1.3395847088260673</v>
      </c>
      <c r="J20" s="3">
        <f>F20/H20</f>
        <v>0.746500011093991</v>
      </c>
    </row>
    <row r="21" spans="4:10" x14ac:dyDescent="0.25">
      <c r="E21">
        <f>'Sand.panel_t-1,0'!H28</f>
        <v>2002</v>
      </c>
      <c r="F21" s="24">
        <f>'Sand.panel_t-1,0'!H280</f>
        <v>6.6258911300757584</v>
      </c>
      <c r="G21">
        <f>F21/F21</f>
        <v>1</v>
      </c>
      <c r="H21" s="24">
        <f>'Sand.panel_t-1,0'!H299</f>
        <v>8.6329999999999991</v>
      </c>
      <c r="I21" s="3">
        <f>H21/F21</f>
        <v>1.3029190837159579</v>
      </c>
      <c r="J21" s="3">
        <f>F21/H21</f>
        <v>0.76750737056362317</v>
      </c>
    </row>
    <row r="23" spans="4:10" ht="18" x14ac:dyDescent="0.35">
      <c r="D23" t="s">
        <v>3</v>
      </c>
      <c r="E23" s="1" t="s">
        <v>114</v>
      </c>
      <c r="F23" t="s">
        <v>115</v>
      </c>
      <c r="G23" t="s">
        <v>116</v>
      </c>
      <c r="H23" s="24" t="s">
        <v>117</v>
      </c>
      <c r="I23" t="s">
        <v>118</v>
      </c>
      <c r="J23" t="s">
        <v>152</v>
      </c>
    </row>
    <row r="24" spans="4:10" x14ac:dyDescent="0.25">
      <c r="E24">
        <f>'Sand.panel_t-1,0'!I14</f>
        <v>300</v>
      </c>
      <c r="F24" s="24">
        <f>'Sand.panel_t-1,0'!I266</f>
        <v>3.3436009302367769E-3</v>
      </c>
      <c r="G24">
        <f>F24/F24</f>
        <v>1</v>
      </c>
      <c r="H24" s="24">
        <f>'Sand.panel_t-1,0'!I285</f>
        <v>3.9E-2</v>
      </c>
      <c r="I24" s="3">
        <f>H24/F24</f>
        <v>11.664071404968242</v>
      </c>
      <c r="J24" s="3">
        <f>F24/H24</f>
        <v>8.5733357185558384E-2</v>
      </c>
    </row>
    <row r="25" spans="4:10" x14ac:dyDescent="0.25">
      <c r="E25">
        <f>'Sand.panel_t-1,0'!I16</f>
        <v>600</v>
      </c>
      <c r="F25" s="24">
        <f>'Sand.panel_t-1,0'!I268</f>
        <v>5.349761488378843E-2</v>
      </c>
      <c r="G25">
        <f t="shared" ref="G25:G27" si="3">F25/F25</f>
        <v>1</v>
      </c>
      <c r="H25" s="24">
        <f>'Sand.panel_t-1,0'!I287</f>
        <v>0.21299999999999999</v>
      </c>
      <c r="I25" s="3">
        <f t="shared" ref="I25:I27" si="4">H25/F25</f>
        <v>3.981485912272813</v>
      </c>
      <c r="J25" s="3">
        <f t="shared" ref="J25:J27" si="5">F25/H25</f>
        <v>0.25116251119149496</v>
      </c>
    </row>
    <row r="26" spans="4:10" x14ac:dyDescent="0.25">
      <c r="E26">
        <f>'Sand.panel_t-1,0'!I18</f>
        <v>810</v>
      </c>
      <c r="F26" s="24">
        <f>'Sand.panel_t-1,0'!I270</f>
        <v>0.17769266219659632</v>
      </c>
      <c r="G26">
        <f t="shared" si="3"/>
        <v>1</v>
      </c>
      <c r="H26" s="24">
        <f>'Sand.panel_t-1,0'!I289</f>
        <v>0.48699999999999999</v>
      </c>
      <c r="I26" s="3">
        <f t="shared" si="4"/>
        <v>2.7406871728962616</v>
      </c>
      <c r="J26" s="3">
        <f t="shared" si="5"/>
        <v>0.36487199629691236</v>
      </c>
    </row>
    <row r="27" spans="4:10" x14ac:dyDescent="0.25">
      <c r="E27">
        <f>'Sand.panel_t-1,0'!I20</f>
        <v>990</v>
      </c>
      <c r="F27" s="24">
        <f>'Sand.panel_t-1,0'!I272</f>
        <v>0.39652465587873292</v>
      </c>
      <c r="G27">
        <f t="shared" si="3"/>
        <v>1</v>
      </c>
      <c r="H27" s="24">
        <f>'Sand.panel_t-1,0'!I291</f>
        <v>0.88300000000000001</v>
      </c>
      <c r="I27" s="3">
        <f t="shared" si="4"/>
        <v>2.2268476547648612</v>
      </c>
      <c r="J27" s="3">
        <f t="shared" si="5"/>
        <v>0.44906529544590362</v>
      </c>
    </row>
    <row r="28" spans="4:10" x14ac:dyDescent="0.25">
      <c r="E28">
        <f>'Sand.panel_t-1,0'!I22</f>
        <v>1230</v>
      </c>
      <c r="F28" s="24">
        <f>'Sand.panel_t-1,0'!I274</f>
        <v>0.94482171082268063</v>
      </c>
      <c r="G28">
        <f>F28/F28</f>
        <v>1</v>
      </c>
      <c r="H28" s="24">
        <f>'Sand.panel_t-1,0'!I293</f>
        <v>1.7509999999999999</v>
      </c>
      <c r="I28" s="3">
        <f>H28/F28</f>
        <v>1.8532596996266724</v>
      </c>
      <c r="J28" s="3">
        <f>F28/H28</f>
        <v>0.5395897834509884</v>
      </c>
    </row>
    <row r="29" spans="4:10" x14ac:dyDescent="0.25">
      <c r="E29">
        <f>'Sand.panel_t-1,0'!I24</f>
        <v>1530</v>
      </c>
      <c r="F29" s="24">
        <f>'Sand.panel_t-1,0'!I276</f>
        <v>2.2620132356838774</v>
      </c>
      <c r="G29">
        <f>F29/F29</f>
        <v>1</v>
      </c>
      <c r="H29" s="24">
        <f>'Sand.panel_t-1,0'!I295</f>
        <v>3.6459999999999999</v>
      </c>
      <c r="I29" s="3">
        <f>H29/F29</f>
        <v>1.6118384908113501</v>
      </c>
      <c r="J29" s="3">
        <f>F29/H29</f>
        <v>0.62040955449365809</v>
      </c>
    </row>
    <row r="30" spans="4:10" x14ac:dyDescent="0.25">
      <c r="E30">
        <f>'Sand.panel_t-1,0'!I26</f>
        <v>1800</v>
      </c>
      <c r="F30" s="24">
        <f>'Sand.panel_t-1,0'!I278</f>
        <v>4.3333068055868633</v>
      </c>
      <c r="G30">
        <f>F30/F30</f>
        <v>1</v>
      </c>
      <c r="H30" s="24">
        <f>'Sand.panel_t-1,0'!I297</f>
        <v>6.4269999999999996</v>
      </c>
      <c r="I30" s="3">
        <f>H30/F30</f>
        <v>1.4831629257623233</v>
      </c>
      <c r="J30" s="3">
        <f>F30/H30</f>
        <v>0.67423476047718434</v>
      </c>
    </row>
    <row r="31" spans="4:10" x14ac:dyDescent="0.25">
      <c r="E31">
        <f>'Sand.panel_t-1,0'!I28</f>
        <v>2010</v>
      </c>
      <c r="F31" s="24">
        <f>'Sand.panel_t-1,0'!I280</f>
        <v>6.7377306920913851</v>
      </c>
      <c r="G31">
        <f>F31/F31</f>
        <v>1</v>
      </c>
      <c r="H31" s="24">
        <f>'Sand.panel_t-1,0'!I299</f>
        <v>9.5419999999999998</v>
      </c>
      <c r="I31" s="3">
        <f>H31/F31</f>
        <v>1.4162038282711731</v>
      </c>
      <c r="J31" s="3">
        <f>F31/H31</f>
        <v>0.7061130467503024</v>
      </c>
    </row>
    <row r="33" spans="3:10" ht="18" x14ac:dyDescent="0.35">
      <c r="D33" t="s">
        <v>147</v>
      </c>
      <c r="E33" s="1" t="s">
        <v>114</v>
      </c>
      <c r="F33" t="s">
        <v>115</v>
      </c>
      <c r="G33" t="s">
        <v>116</v>
      </c>
      <c r="H33" s="24" t="s">
        <v>117</v>
      </c>
      <c r="I33" t="s">
        <v>118</v>
      </c>
      <c r="J33" t="s">
        <v>152</v>
      </c>
    </row>
    <row r="34" spans="3:10" x14ac:dyDescent="0.25">
      <c r="E34">
        <f>'Sand.panel_t-1,0'!J14</f>
        <v>313.2</v>
      </c>
      <c r="F34" s="24">
        <f>'Sand.panel_t-1,0'!J266</f>
        <v>3.9710546044016796E-3</v>
      </c>
      <c r="G34">
        <f>F34/F34</f>
        <v>1</v>
      </c>
      <c r="H34" s="24">
        <f>'Sand.panel_t-1,0'!J285</f>
        <v>3.4000000000000002E-2</v>
      </c>
      <c r="I34" s="3">
        <f>H34/F34</f>
        <v>8.561957310361084</v>
      </c>
      <c r="J34" s="3">
        <f>F34/H34</f>
        <v>0.11679572365887292</v>
      </c>
    </row>
    <row r="35" spans="3:10" x14ac:dyDescent="0.25">
      <c r="E35">
        <f>'Sand.panel_t-1,0'!J16</f>
        <v>600.29999999999995</v>
      </c>
      <c r="F35" s="24">
        <f>'Sand.panel_t-1,0'!J268</f>
        <v>5.3591044152699198E-2</v>
      </c>
      <c r="G35">
        <f t="shared" ref="G35:G37" si="6">F35/F35</f>
        <v>1</v>
      </c>
      <c r="H35" s="24">
        <f>'Sand.panel_t-1,0'!J287</f>
        <v>0.17899999999999999</v>
      </c>
      <c r="I35" s="3">
        <f t="shared" ref="I35:I37" si="7">H35/F35</f>
        <v>3.3401103268293828</v>
      </c>
      <c r="J35" s="3">
        <f t="shared" ref="J35:J37" si="8">F35/H35</f>
        <v>0.29939130811563797</v>
      </c>
    </row>
    <row r="36" spans="3:10" x14ac:dyDescent="0.25">
      <c r="E36">
        <f>'Sand.panel_t-1,0'!J18</f>
        <v>809.1</v>
      </c>
      <c r="F36" s="24">
        <f>'Sand.panel_t-1,0'!J270</f>
        <v>0.17685919749766804</v>
      </c>
      <c r="G36">
        <f t="shared" si="6"/>
        <v>1</v>
      </c>
      <c r="H36" s="24">
        <f>'Sand.panel_t-1,0'!J289</f>
        <v>0.42099999999999999</v>
      </c>
      <c r="I36" s="3">
        <f t="shared" si="7"/>
        <v>2.3804246878681616</v>
      </c>
      <c r="J36" s="3">
        <f t="shared" si="8"/>
        <v>0.4200931056951735</v>
      </c>
    </row>
    <row r="37" spans="3:10" x14ac:dyDescent="0.25">
      <c r="E37">
        <f>'Sand.panel_t-1,0'!J20</f>
        <v>991.8</v>
      </c>
      <c r="F37" s="24">
        <f>'Sand.panel_t-1,0'!J272</f>
        <v>0.39931466597240067</v>
      </c>
      <c r="G37">
        <f t="shared" si="6"/>
        <v>1</v>
      </c>
      <c r="H37" s="24">
        <f>'Sand.panel_t-1,0'!J291</f>
        <v>0.78900000000000003</v>
      </c>
      <c r="I37" s="3">
        <f t="shared" si="7"/>
        <v>1.9758853536687608</v>
      </c>
      <c r="J37" s="3">
        <f t="shared" si="8"/>
        <v>0.50610223824131895</v>
      </c>
    </row>
    <row r="38" spans="3:10" x14ac:dyDescent="0.25">
      <c r="E38">
        <f>'Sand.panel_t-1,0'!J22</f>
        <v>1226.7</v>
      </c>
      <c r="F38" s="24">
        <f>'Sand.panel_t-1,0'!J274</f>
        <v>0.93448493938374821</v>
      </c>
      <c r="G38">
        <f t="shared" ref="G38:G39" si="9">F38/F38</f>
        <v>1</v>
      </c>
      <c r="H38" s="24">
        <f>'Sand.panel_t-1,0'!J293</f>
        <v>1.583</v>
      </c>
      <c r="I38" s="3">
        <f t="shared" ref="I38:I39" si="10">H38/F38</f>
        <v>1.6939812866796109</v>
      </c>
      <c r="J38" s="3">
        <f t="shared" ref="J38:J39" si="11">F38/H38</f>
        <v>0.59032529335675821</v>
      </c>
    </row>
    <row r="39" spans="3:10" x14ac:dyDescent="0.25">
      <c r="E39">
        <f>'Sand.panel_t-1,0'!J24</f>
        <v>1539.9</v>
      </c>
      <c r="F39" s="24">
        <f>'Sand.panel_t-1,0'!J276</f>
        <v>2.3205392646724228</v>
      </c>
      <c r="G39">
        <f t="shared" si="9"/>
        <v>1</v>
      </c>
      <c r="H39" s="24">
        <f>'Sand.panel_t-1,0'!J295</f>
        <v>3.48</v>
      </c>
      <c r="I39" s="3">
        <f t="shared" si="10"/>
        <v>1.4996514185211391</v>
      </c>
      <c r="J39" s="3">
        <f t="shared" si="11"/>
        <v>0.66682162777943188</v>
      </c>
    </row>
    <row r="40" spans="3:10" x14ac:dyDescent="0.25">
      <c r="E40">
        <f>'Sand.panel_t-1,0'!J26</f>
        <v>1800.9</v>
      </c>
      <c r="F40" s="24">
        <f>'Sand.panel_t-1,0'!J278</f>
        <v>4.3408745763686367</v>
      </c>
      <c r="G40">
        <f>F40/F40</f>
        <v>1</v>
      </c>
      <c r="H40" s="24">
        <f>'Sand.panel_t-1,0'!J297</f>
        <v>6.0979999999999999</v>
      </c>
      <c r="I40" s="3">
        <f>H40/F40</f>
        <v>1.404786038554767</v>
      </c>
      <c r="J40" s="3">
        <f>F40/H40</f>
        <v>0.71185217716770033</v>
      </c>
    </row>
    <row r="41" spans="3:10" x14ac:dyDescent="0.25">
      <c r="E41">
        <f>'Sand.panel_t-1,0'!J28</f>
        <v>2009.7</v>
      </c>
      <c r="F41" s="24">
        <f>'Sand.panel_t-1,0'!J280</f>
        <v>6.7319948554094848</v>
      </c>
      <c r="G41">
        <f>F41/F41</f>
        <v>1</v>
      </c>
      <c r="H41" s="24">
        <f>'Sand.panel_t-1,0'!J299</f>
        <v>9.1129999999999995</v>
      </c>
      <c r="I41" s="3">
        <f>H41/F41</f>
        <v>1.3536849322867888</v>
      </c>
      <c r="J41" s="3">
        <f>F41/H41</f>
        <v>0.738724333963512</v>
      </c>
    </row>
    <row r="43" spans="3:10" ht="18" x14ac:dyDescent="0.35">
      <c r="C43" s="41" t="s">
        <v>102</v>
      </c>
      <c r="D43" s="2">
        <f>'Sand.panel_t-1,0'!H33</f>
        <v>3.5</v>
      </c>
      <c r="E43" t="s">
        <v>113</v>
      </c>
    </row>
    <row r="44" spans="3:10" ht="18" x14ac:dyDescent="0.35">
      <c r="D44" t="s">
        <v>2</v>
      </c>
      <c r="E44" s="1" t="s">
        <v>114</v>
      </c>
      <c r="F44" t="s">
        <v>115</v>
      </c>
      <c r="G44" t="s">
        <v>116</v>
      </c>
      <c r="H44" s="24" t="s">
        <v>117</v>
      </c>
      <c r="I44" t="s">
        <v>118</v>
      </c>
      <c r="J44" t="s">
        <v>152</v>
      </c>
    </row>
    <row r="45" spans="3:10" x14ac:dyDescent="0.25">
      <c r="E45">
        <f>'Sand.panel_t-1,0'!H14</f>
        <v>308</v>
      </c>
      <c r="F45" s="24">
        <f>'Sand.panel_t-1,0'!H322</f>
        <v>3.7103291027728584E-3</v>
      </c>
      <c r="G45">
        <f t="shared" ref="G45:G50" si="12">F45/F45</f>
        <v>1</v>
      </c>
      <c r="H45" s="24">
        <f>'Sand.panel_t-1,0'!H341</f>
        <v>2.1000000000000001E-2</v>
      </c>
      <c r="I45" s="3">
        <f t="shared" ref="I45:I50" si="13">H45/F45</f>
        <v>5.6598752882341268</v>
      </c>
      <c r="J45" s="3">
        <f>F45/H45</f>
        <v>0.17668233822727897</v>
      </c>
    </row>
    <row r="46" spans="3:10" x14ac:dyDescent="0.25">
      <c r="E46">
        <f>'Sand.panel_t-1,0'!H16</f>
        <v>594</v>
      </c>
      <c r="F46" s="24">
        <f>'Sand.panel_t-1,0'!H324</f>
        <v>5.13281187189377E-2</v>
      </c>
      <c r="G46">
        <f t="shared" si="12"/>
        <v>1</v>
      </c>
      <c r="H46" s="24">
        <f>'Sand.panel_t-1,0'!H343</f>
        <v>0.125</v>
      </c>
      <c r="I46" s="3">
        <f t="shared" si="13"/>
        <v>2.4353123223641702</v>
      </c>
      <c r="J46" s="3">
        <f t="shared" ref="J46:J48" si="14">F46/H46</f>
        <v>0.4106249497515016</v>
      </c>
    </row>
    <row r="47" spans="3:10" x14ac:dyDescent="0.25">
      <c r="E47">
        <f>'Sand.panel_t-1,0'!H18</f>
        <v>814</v>
      </c>
      <c r="F47" s="24">
        <f>'Sand.panel_t-1,0'!H326</f>
        <v>0.18101192476004485</v>
      </c>
      <c r="G47">
        <f t="shared" si="12"/>
        <v>1</v>
      </c>
      <c r="H47" s="24">
        <f>'Sand.panel_t-1,0'!H345</f>
        <v>0.33400000000000002</v>
      </c>
      <c r="I47" s="3">
        <f t="shared" si="13"/>
        <v>1.8451823018995075</v>
      </c>
      <c r="J47" s="3">
        <f t="shared" si="14"/>
        <v>0.54195187053905636</v>
      </c>
    </row>
    <row r="48" spans="3:10" x14ac:dyDescent="0.25">
      <c r="E48">
        <f>'Sand.panel_t-1,0'!H20</f>
        <v>990</v>
      </c>
      <c r="F48" s="24">
        <f>'Sand.panel_t-1,0'!H328</f>
        <v>0.39605029875723535</v>
      </c>
      <c r="G48">
        <f t="shared" si="12"/>
        <v>1</v>
      </c>
      <c r="H48" s="24">
        <f>'Sand.panel_t-1,0'!H347</f>
        <v>0.64200000000000002</v>
      </c>
      <c r="I48" s="3">
        <f t="shared" si="13"/>
        <v>1.621006225761044</v>
      </c>
      <c r="J48" s="3">
        <f t="shared" si="14"/>
        <v>0.61690077688042888</v>
      </c>
    </row>
    <row r="49" spans="4:10" x14ac:dyDescent="0.25">
      <c r="E49">
        <f>'Sand.panel_t-1,0'!H22</f>
        <v>1232</v>
      </c>
      <c r="F49" s="24">
        <f>'Sand.panel_t-1,0'!H330</f>
        <v>0.94984425030985176</v>
      </c>
      <c r="G49">
        <f t="shared" si="12"/>
        <v>1</v>
      </c>
      <c r="H49" s="24">
        <f>'Sand.panel_t-1,0'!H349</f>
        <v>1.389</v>
      </c>
      <c r="I49" s="3">
        <f t="shared" si="13"/>
        <v>1.4623450102970985</v>
      </c>
      <c r="J49" s="3">
        <f>F49/H49</f>
        <v>0.68383315357080754</v>
      </c>
    </row>
    <row r="50" spans="4:10" x14ac:dyDescent="0.25">
      <c r="E50">
        <f>'Sand.panel_t-1,0'!H24</f>
        <v>1540</v>
      </c>
      <c r="F50" s="24">
        <f>'Sand.panel_t-1,0'!H332</f>
        <v>2.3189556892330363</v>
      </c>
      <c r="G50">
        <f t="shared" si="12"/>
        <v>1</v>
      </c>
      <c r="H50" s="24">
        <f>'Sand.panel_t-1,0'!H351</f>
        <v>3.1280000000000001</v>
      </c>
      <c r="I50" s="3">
        <f t="shared" si="13"/>
        <v>1.3488830401216267</v>
      </c>
      <c r="J50" s="3">
        <f>F50/H50</f>
        <v>0.7413541205987968</v>
      </c>
    </row>
    <row r="51" spans="4:10" x14ac:dyDescent="0.25">
      <c r="E51">
        <f>'Sand.panel_t-1,0'!H26</f>
        <v>1804</v>
      </c>
      <c r="F51" s="24">
        <f>'Sand.panel_t-1,0'!H334</f>
        <v>4.366723563423796</v>
      </c>
      <c r="G51">
        <f>F51/F51</f>
        <v>1</v>
      </c>
      <c r="H51" s="24">
        <f>'Sand.panel_t-1,0'!H353</f>
        <v>5.65</v>
      </c>
      <c r="I51" s="3">
        <f>H51/F51</f>
        <v>1.2938762708326863</v>
      </c>
      <c r="J51" s="3">
        <f>F51/H51</f>
        <v>0.77287142715465407</v>
      </c>
    </row>
    <row r="52" spans="4:10" x14ac:dyDescent="0.25">
      <c r="E52">
        <f>'Sand.panel_t-1,0'!H28</f>
        <v>2002</v>
      </c>
      <c r="F52" s="24">
        <f>'Sand.panel_t-1,0'!H336</f>
        <v>6.6231693440184758</v>
      </c>
      <c r="G52">
        <f>F52/F52</f>
        <v>1</v>
      </c>
      <c r="H52" s="24">
        <f>'Sand.panel_t-1,0'!H355</f>
        <v>8.3849999999999998</v>
      </c>
      <c r="I52" s="3">
        <f>H52/F52</f>
        <v>1.2660102081751345</v>
      </c>
      <c r="J52" s="3">
        <f>F52/H52</f>
        <v>0.78988304639457074</v>
      </c>
    </row>
    <row r="54" spans="4:10" ht="18" x14ac:dyDescent="0.35">
      <c r="D54" t="s">
        <v>3</v>
      </c>
      <c r="E54" s="1" t="s">
        <v>114</v>
      </c>
      <c r="F54" t="s">
        <v>115</v>
      </c>
      <c r="G54" t="s">
        <v>116</v>
      </c>
      <c r="H54" s="24" t="s">
        <v>117</v>
      </c>
      <c r="I54" t="s">
        <v>118</v>
      </c>
      <c r="J54" t="s">
        <v>152</v>
      </c>
    </row>
    <row r="55" spans="4:10" x14ac:dyDescent="0.25">
      <c r="E55">
        <f>'Sand.panel_t-1,0'!I14</f>
        <v>300</v>
      </c>
      <c r="F55" s="24">
        <f>'Sand.panel_t-1,0'!I322</f>
        <v>3.3431754188173613E-3</v>
      </c>
      <c r="G55">
        <f t="shared" ref="G55:G60" si="15">F55/F55</f>
        <v>1</v>
      </c>
      <c r="H55" s="24">
        <f>'Sand.panel_t-1,0'!I341</f>
        <v>0.03</v>
      </c>
      <c r="I55" s="3">
        <f t="shared" ref="I55:I60" si="16">H55/F55</f>
        <v>8.9735046001900827</v>
      </c>
      <c r="J55" s="3">
        <f>F55/H55</f>
        <v>0.11143918062724538</v>
      </c>
    </row>
    <row r="56" spans="4:10" x14ac:dyDescent="0.25">
      <c r="E56">
        <f>'Sand.panel_t-1,0'!I16</f>
        <v>600</v>
      </c>
      <c r="F56" s="24">
        <f>'Sand.panel_t-1,0'!I324</f>
        <v>5.3490806701077781E-2</v>
      </c>
      <c r="G56">
        <f t="shared" si="15"/>
        <v>1</v>
      </c>
      <c r="H56" s="24">
        <f>'Sand.panel_t-1,0'!I343</f>
        <v>0.17599999999999999</v>
      </c>
      <c r="I56" s="3">
        <f t="shared" si="16"/>
        <v>3.2902850200696969</v>
      </c>
      <c r="J56" s="3">
        <f t="shared" ref="J56:J58" si="17">F56/H56</f>
        <v>0.3039250380743056</v>
      </c>
    </row>
    <row r="57" spans="4:10" x14ac:dyDescent="0.25">
      <c r="E57">
        <f>'Sand.panel_t-1,0'!I18</f>
        <v>810</v>
      </c>
      <c r="F57" s="24">
        <f>'Sand.panel_t-1,0'!I326</f>
        <v>0.17767004877517173</v>
      </c>
      <c r="G57">
        <f t="shared" si="15"/>
        <v>1</v>
      </c>
      <c r="H57" s="24">
        <f>'Sand.panel_t-1,0'!I345</f>
        <v>0.41899999999999998</v>
      </c>
      <c r="I57" s="3">
        <f t="shared" si="16"/>
        <v>2.3583040748202495</v>
      </c>
      <c r="J57" s="3">
        <f t="shared" si="17"/>
        <v>0.42403352929635257</v>
      </c>
    </row>
    <row r="58" spans="4:10" x14ac:dyDescent="0.25">
      <c r="E58">
        <f>'Sand.panel_t-1,0'!I20</f>
        <v>990</v>
      </c>
      <c r="F58" s="24">
        <f>'Sand.panel_t-1,0'!I328</f>
        <v>0.39647419358593039</v>
      </c>
      <c r="G58">
        <f t="shared" si="15"/>
        <v>1</v>
      </c>
      <c r="H58" s="24">
        <f>'Sand.panel_t-1,0'!I347</f>
        <v>0.77900000000000003</v>
      </c>
      <c r="I58" s="3">
        <f t="shared" si="16"/>
        <v>1.9648189279465988</v>
      </c>
      <c r="J58" s="3">
        <f t="shared" si="17"/>
        <v>0.50895275171492993</v>
      </c>
    </row>
    <row r="59" spans="4:10" x14ac:dyDescent="0.25">
      <c r="E59">
        <f>'Sand.panel_t-1,0'!I22</f>
        <v>1230</v>
      </c>
      <c r="F59" s="24">
        <f>'Sand.panel_t-1,0'!I330</f>
        <v>0.94470147146527661</v>
      </c>
      <c r="G59">
        <f t="shared" si="15"/>
        <v>1</v>
      </c>
      <c r="H59" s="24">
        <f>'Sand.panel_t-1,0'!I349</f>
        <v>1.59</v>
      </c>
      <c r="I59" s="3">
        <f t="shared" si="16"/>
        <v>1.6830713701904527</v>
      </c>
      <c r="J59" s="3">
        <f>F59/H59</f>
        <v>0.59415186884608584</v>
      </c>
    </row>
    <row r="60" spans="4:10" x14ac:dyDescent="0.25">
      <c r="E60">
        <f>'Sand.panel_t-1,0'!I24</f>
        <v>1530</v>
      </c>
      <c r="F60" s="24">
        <f>'Sand.panel_t-1,0'!I332</f>
        <v>2.2617253686558634</v>
      </c>
      <c r="G60">
        <f t="shared" si="15"/>
        <v>1</v>
      </c>
      <c r="H60" s="24">
        <f>'Sand.panel_t-1,0'!I351</f>
        <v>3.395</v>
      </c>
      <c r="I60" s="3">
        <f t="shared" si="16"/>
        <v>1.5010664190487628</v>
      </c>
      <c r="J60" s="3">
        <f>F60/H60</f>
        <v>0.66619303936844276</v>
      </c>
    </row>
    <row r="61" spans="4:10" x14ac:dyDescent="0.25">
      <c r="E61">
        <f>'Sand.panel_t-1,0'!I26</f>
        <v>1800</v>
      </c>
      <c r="F61" s="24">
        <f>'Sand.panel_t-1,0'!I334</f>
        <v>4.3327553427873005</v>
      </c>
      <c r="G61">
        <f>F61/F61</f>
        <v>1</v>
      </c>
      <c r="H61" s="24">
        <f>'Sand.panel_t-1,0'!I353</f>
        <v>6.0780000000000003</v>
      </c>
      <c r="I61" s="3">
        <f>H61/F61</f>
        <v>1.4028024938260115</v>
      </c>
      <c r="J61" s="3">
        <f>F61/H61</f>
        <v>0.71285872701337616</v>
      </c>
    </row>
    <row r="62" spans="4:10" x14ac:dyDescent="0.25">
      <c r="E62">
        <f>'Sand.panel_t-1,0'!I28</f>
        <v>2010</v>
      </c>
      <c r="F62" s="24">
        <f>'Sand.panel_t-1,0'!I336</f>
        <v>6.7368732388814321</v>
      </c>
      <c r="G62">
        <f>F62/F62</f>
        <v>1</v>
      </c>
      <c r="H62" s="24">
        <f>'Sand.panel_t-1,0'!I355</f>
        <v>9.1059999999999999</v>
      </c>
      <c r="I62" s="3">
        <f>H62/F62</f>
        <v>1.3516656284172461</v>
      </c>
      <c r="J62" s="3">
        <f>F62/H62</f>
        <v>0.7398279418934145</v>
      </c>
    </row>
    <row r="64" spans="4:10" ht="18" x14ac:dyDescent="0.35">
      <c r="D64" t="s">
        <v>147</v>
      </c>
      <c r="E64" s="1" t="s">
        <v>114</v>
      </c>
      <c r="F64" t="s">
        <v>115</v>
      </c>
      <c r="G64" t="s">
        <v>116</v>
      </c>
      <c r="H64" s="24" t="s">
        <v>117</v>
      </c>
      <c r="I64" t="s">
        <v>118</v>
      </c>
      <c r="J64" t="s">
        <v>152</v>
      </c>
    </row>
    <row r="65" spans="3:10" x14ac:dyDescent="0.25">
      <c r="E65">
        <f>'Sand.panel_t-1,0'!J14</f>
        <v>313.2</v>
      </c>
      <c r="F65" s="24">
        <f>'Sand.panel_t-1,0'!J322</f>
        <v>3.9701844437135371E-3</v>
      </c>
      <c r="G65">
        <f>F65/F65</f>
        <v>1</v>
      </c>
      <c r="H65" s="24">
        <f>'Sand.panel_t-1,0'!J341</f>
        <v>2.7E-2</v>
      </c>
      <c r="I65" s="3">
        <f>H65/F65</f>
        <v>6.8006916008026517</v>
      </c>
      <c r="J65" s="3">
        <f>F65/H65</f>
        <v>0.14704386828568655</v>
      </c>
    </row>
    <row r="66" spans="3:10" x14ac:dyDescent="0.25">
      <c r="E66">
        <f>'Sand.panel_t-1,0'!J16</f>
        <v>600.29999999999995</v>
      </c>
      <c r="F66" s="24">
        <f>'Sand.panel_t-1,0'!J324</f>
        <v>5.3579300969967207E-2</v>
      </c>
      <c r="G66">
        <f t="shared" ref="G66:G68" si="18">F66/F66</f>
        <v>1</v>
      </c>
      <c r="H66" s="24">
        <f>'Sand.panel_t-1,0'!J343</f>
        <v>0.151</v>
      </c>
      <c r="I66" s="3">
        <f t="shared" ref="I66:I68" si="19">H66/F66</f>
        <v>2.8182525204022348</v>
      </c>
      <c r="J66" s="3">
        <f t="shared" ref="J66:J68" si="20">F66/H66</f>
        <v>0.35482980774812722</v>
      </c>
    </row>
    <row r="67" spans="3:10" x14ac:dyDescent="0.25">
      <c r="E67">
        <f>'Sand.panel_t-1,0'!J18</f>
        <v>809.1</v>
      </c>
      <c r="F67" s="24">
        <f>'Sand.panel_t-1,0'!J326</f>
        <v>0.17682044307690831</v>
      </c>
      <c r="G67">
        <f t="shared" si="18"/>
        <v>1</v>
      </c>
      <c r="H67" s="24">
        <f>'Sand.panel_t-1,0'!J345</f>
        <v>0.36799999999999999</v>
      </c>
      <c r="I67" s="3">
        <f t="shared" si="19"/>
        <v>2.0812073174137331</v>
      </c>
      <c r="J67" s="3">
        <f t="shared" si="20"/>
        <v>0.48049033444812039</v>
      </c>
    </row>
    <row r="68" spans="3:10" x14ac:dyDescent="0.25">
      <c r="E68">
        <f>'Sand.panel_t-1,0'!J20</f>
        <v>991.8</v>
      </c>
      <c r="F68" s="24">
        <f>'Sand.panel_t-1,0'!J328</f>
        <v>0.39922716580956158</v>
      </c>
      <c r="G68">
        <f t="shared" si="18"/>
        <v>1</v>
      </c>
      <c r="H68" s="24">
        <f>'Sand.panel_t-1,0'!J347</f>
        <v>0.70899999999999996</v>
      </c>
      <c r="I68" s="3">
        <f t="shared" si="19"/>
        <v>1.7759312509765568</v>
      </c>
      <c r="J68" s="3">
        <f t="shared" si="20"/>
        <v>0.56308486009811232</v>
      </c>
    </row>
    <row r="69" spans="3:10" x14ac:dyDescent="0.25">
      <c r="E69">
        <f>'Sand.panel_t-1,0'!J22</f>
        <v>1226.7</v>
      </c>
      <c r="F69" s="24">
        <f>'Sand.panel_t-1,0'!J330</f>
        <v>0.93428016958355153</v>
      </c>
      <c r="G69">
        <f t="shared" ref="G69:G70" si="21">F69/F69</f>
        <v>1</v>
      </c>
      <c r="H69" s="24">
        <f>'Sand.panel_t-1,0'!J349</f>
        <v>1.46</v>
      </c>
      <c r="I69" s="3">
        <f t="shared" ref="I69:I70" si="22">H69/F69</f>
        <v>1.5627004056511058</v>
      </c>
      <c r="J69" s="3">
        <f t="shared" ref="J69:J70" si="23">F69/H69</f>
        <v>0.63991792437229555</v>
      </c>
    </row>
    <row r="70" spans="3:10" x14ac:dyDescent="0.25">
      <c r="E70">
        <f>'Sand.panel_t-1,0'!J24</f>
        <v>1539.9</v>
      </c>
      <c r="F70" s="24">
        <f>'Sand.panel_t-1,0'!J332</f>
        <v>2.3200307745496298</v>
      </c>
      <c r="G70">
        <f t="shared" si="21"/>
        <v>1</v>
      </c>
      <c r="H70" s="24">
        <f>'Sand.panel_t-1,0'!J351</f>
        <v>3.2850000000000001</v>
      </c>
      <c r="I70" s="3">
        <f t="shared" si="22"/>
        <v>1.4159294937101394</v>
      </c>
      <c r="J70" s="3">
        <f t="shared" si="23"/>
        <v>0.7062498552662495</v>
      </c>
    </row>
    <row r="71" spans="3:10" x14ac:dyDescent="0.25">
      <c r="E71">
        <f>'Sand.panel_t-1,0'!J26</f>
        <v>1800.9</v>
      </c>
      <c r="F71" s="24">
        <f>'Sand.panel_t-1,0'!J334</f>
        <v>4.3399233785673452</v>
      </c>
      <c r="G71">
        <f>F71/F71</f>
        <v>1</v>
      </c>
      <c r="H71" s="24">
        <f>'Sand.panel_t-1,0'!J353</f>
        <v>5.83</v>
      </c>
      <c r="I71" s="3">
        <f>H71/F71</f>
        <v>1.3433416886554677</v>
      </c>
      <c r="J71" s="3">
        <f>F71/H71</f>
        <v>0.74441224332201461</v>
      </c>
    </row>
    <row r="72" spans="3:10" x14ac:dyDescent="0.25">
      <c r="E72">
        <f>'Sand.panel_t-1,0'!J28</f>
        <v>2009.7</v>
      </c>
      <c r="F72" s="24">
        <f>'Sand.panel_t-1,0'!J336</f>
        <v>6.7305197013611204</v>
      </c>
      <c r="G72">
        <f>F72/F72</f>
        <v>1</v>
      </c>
      <c r="H72" s="24">
        <f>'Sand.panel_t-1,0'!J355</f>
        <v>8.7780000000000005</v>
      </c>
      <c r="I72" s="3">
        <f>H72/F72</f>
        <v>1.3042083508387645</v>
      </c>
      <c r="J72" s="3">
        <f>F72/H72</f>
        <v>0.76674865588529506</v>
      </c>
    </row>
    <row r="74" spans="3:10" ht="18" x14ac:dyDescent="0.35">
      <c r="C74" s="41" t="s">
        <v>103</v>
      </c>
      <c r="D74" s="2">
        <f>'Sand.panel_t-1,0'!H34</f>
        <v>4</v>
      </c>
      <c r="E74" t="s">
        <v>113</v>
      </c>
    </row>
    <row r="75" spans="3:10" ht="18" x14ac:dyDescent="0.35">
      <c r="D75" t="s">
        <v>2</v>
      </c>
      <c r="E75" s="1" t="s">
        <v>114</v>
      </c>
      <c r="F75" t="s">
        <v>115</v>
      </c>
      <c r="G75" t="s">
        <v>116</v>
      </c>
      <c r="H75" s="24" t="s">
        <v>117</v>
      </c>
      <c r="I75" t="s">
        <v>118</v>
      </c>
      <c r="J75" t="s">
        <v>152</v>
      </c>
    </row>
    <row r="76" spans="3:10" x14ac:dyDescent="0.25">
      <c r="E76">
        <f>'Sand.panel_t-1,0'!H14</f>
        <v>308</v>
      </c>
      <c r="F76" s="24">
        <f>'Sand.panel_t-1,0'!H378</f>
        <v>3.7085713239339126E-3</v>
      </c>
      <c r="G76">
        <f t="shared" ref="G76:G81" si="24">F76/F76</f>
        <v>1</v>
      </c>
      <c r="H76" s="24">
        <f>'Sand.panel_t-1,0'!H397</f>
        <v>1.7000000000000001E-2</v>
      </c>
      <c r="I76" s="3">
        <f t="shared" ref="I76:I81" si="25">H76/F76</f>
        <v>4.5839754760242934</v>
      </c>
      <c r="J76" s="3">
        <f>F76/H76</f>
        <v>0.21815125434905366</v>
      </c>
    </row>
    <row r="77" spans="3:10" x14ac:dyDescent="0.25">
      <c r="E77">
        <f>'Sand.panel_t-1,0'!H16</f>
        <v>594</v>
      </c>
      <c r="F77" s="24">
        <f>'Sand.panel_t-1,0'!H380</f>
        <v>5.1303801878455922E-2</v>
      </c>
      <c r="G77">
        <f t="shared" si="24"/>
        <v>1</v>
      </c>
      <c r="H77" s="24">
        <f>'Sand.panel_t-1,0'!H399</f>
        <v>0.111</v>
      </c>
      <c r="I77" s="3">
        <f t="shared" si="25"/>
        <v>2.1635823454754997</v>
      </c>
      <c r="J77" s="3">
        <f t="shared" ref="J77:J79" si="26">F77/H77</f>
        <v>0.46219641331942274</v>
      </c>
    </row>
    <row r="78" spans="3:10" x14ac:dyDescent="0.25">
      <c r="E78">
        <f>'Sand.panel_t-1,0'!H18</f>
        <v>814</v>
      </c>
      <c r="F78" s="24">
        <f>'Sand.panel_t-1,0'!H382</f>
        <v>0.18092616985202276</v>
      </c>
      <c r="G78">
        <f t="shared" si="24"/>
        <v>1</v>
      </c>
      <c r="H78" s="24">
        <f>'Sand.panel_t-1,0'!H401</f>
        <v>0.308</v>
      </c>
      <c r="I78" s="3">
        <f t="shared" si="25"/>
        <v>1.702351850215529</v>
      </c>
      <c r="J78" s="3">
        <f t="shared" si="26"/>
        <v>0.58742262938968426</v>
      </c>
    </row>
    <row r="79" spans="3:10" x14ac:dyDescent="0.25">
      <c r="E79">
        <f>'Sand.panel_t-1,0'!H20</f>
        <v>990</v>
      </c>
      <c r="F79" s="24">
        <f>'Sand.panel_t-1,0'!H384</f>
        <v>0.39586266881524629</v>
      </c>
      <c r="G79">
        <f t="shared" si="24"/>
        <v>1</v>
      </c>
      <c r="H79" s="24">
        <f>'Sand.panel_t-1,0'!H403</f>
        <v>0.60399999999999998</v>
      </c>
      <c r="I79" s="3">
        <f t="shared" si="25"/>
        <v>1.5257816601087328</v>
      </c>
      <c r="J79" s="3">
        <f t="shared" si="26"/>
        <v>0.65540176956166607</v>
      </c>
    </row>
    <row r="80" spans="3:10" x14ac:dyDescent="0.25">
      <c r="E80">
        <f>'Sand.panel_t-1,0'!H22</f>
        <v>1232</v>
      </c>
      <c r="F80" s="24">
        <f>'Sand.panel_t-1,0'!H386</f>
        <v>0.94939425892708162</v>
      </c>
      <c r="G80">
        <f t="shared" si="24"/>
        <v>1</v>
      </c>
      <c r="H80" s="24">
        <f>'Sand.panel_t-1,0'!H405</f>
        <v>1.3280000000000001</v>
      </c>
      <c r="I80" s="3">
        <f t="shared" si="25"/>
        <v>1.3987866342280013</v>
      </c>
      <c r="J80" s="3">
        <f>F80/H80</f>
        <v>0.71490531545713976</v>
      </c>
    </row>
    <row r="81" spans="4:10" x14ac:dyDescent="0.25">
      <c r="E81">
        <f>'Sand.panel_t-1,0'!H24</f>
        <v>1540</v>
      </c>
      <c r="F81" s="24">
        <f>'Sand.panel_t-1,0'!H388</f>
        <v>2.3178570774586955</v>
      </c>
      <c r="G81">
        <f t="shared" si="24"/>
        <v>1</v>
      </c>
      <c r="H81" s="24">
        <f>'Sand.panel_t-1,0'!H407</f>
        <v>3.0329999999999999</v>
      </c>
      <c r="I81" s="3">
        <f t="shared" si="25"/>
        <v>1.3085362464735699</v>
      </c>
      <c r="J81" s="3">
        <f>F81/H81</f>
        <v>0.76421268627058869</v>
      </c>
    </row>
    <row r="82" spans="4:10" x14ac:dyDescent="0.25">
      <c r="E82">
        <f>'Sand.panel_t-1,0'!H26</f>
        <v>1804</v>
      </c>
      <c r="F82" s="24">
        <f>'Sand.panel_t-1,0'!H390</f>
        <v>4.3646548158645633</v>
      </c>
      <c r="G82">
        <f>F82/F82</f>
        <v>1</v>
      </c>
      <c r="H82" s="24">
        <f>'Sand.panel_t-1,0'!H409</f>
        <v>5.52</v>
      </c>
      <c r="I82" s="3">
        <f>H82/F82</f>
        <v>1.264704823835326</v>
      </c>
      <c r="J82" s="3">
        <f>F82/H82</f>
        <v>0.79069833620734853</v>
      </c>
    </row>
    <row r="83" spans="4:10" x14ac:dyDescent="0.25">
      <c r="E83">
        <f>'Sand.panel_t-1,0'!H28</f>
        <v>2002</v>
      </c>
      <c r="F83" s="24">
        <f>'Sand.panel_t-1,0'!H392</f>
        <v>6.6200315989297804</v>
      </c>
      <c r="G83">
        <f>F83/F83</f>
        <v>1</v>
      </c>
      <c r="H83" s="24">
        <f>'Sand.panel_t-1,0'!H411</f>
        <v>8.2240000000000002</v>
      </c>
      <c r="I83" s="3">
        <f>H83/F83</f>
        <v>1.2422901427433555</v>
      </c>
      <c r="J83" s="3">
        <f>F83/H83</f>
        <v>0.8049649317764811</v>
      </c>
    </row>
    <row r="85" spans="4:10" ht="18" x14ac:dyDescent="0.35">
      <c r="D85" t="s">
        <v>3</v>
      </c>
      <c r="E85" s="1" t="s">
        <v>114</v>
      </c>
      <c r="F85" t="s">
        <v>115</v>
      </c>
      <c r="G85" t="s">
        <v>116</v>
      </c>
      <c r="H85" s="24" t="s">
        <v>117</v>
      </c>
      <c r="I85" t="s">
        <v>118</v>
      </c>
      <c r="J85" t="s">
        <v>152</v>
      </c>
    </row>
    <row r="86" spans="4:10" x14ac:dyDescent="0.25">
      <c r="E86">
        <f>'Sand.panel_t-1,0'!I14</f>
        <v>300</v>
      </c>
      <c r="F86" s="24">
        <f>'Sand.panel_t-1,0'!I378</f>
        <v>3.3426845786598144E-3</v>
      </c>
      <c r="G86">
        <f t="shared" ref="G86:G91" si="27">F86/F86</f>
        <v>1</v>
      </c>
      <c r="H86" s="24">
        <f>'Sand.panel_t-1,0'!I397</f>
        <v>2.5000000000000001E-2</v>
      </c>
      <c r="I86" s="3">
        <f t="shared" ref="I86:I91" si="28">H86/F86</f>
        <v>7.4790185587966169</v>
      </c>
      <c r="J86" s="3">
        <f>F86/H86</f>
        <v>0.13370738314639258</v>
      </c>
    </row>
    <row r="87" spans="4:10" x14ac:dyDescent="0.25">
      <c r="E87">
        <f>'Sand.panel_t-1,0'!I16</f>
        <v>600</v>
      </c>
      <c r="F87" s="24">
        <f>'Sand.panel_t-1,0'!I380</f>
        <v>5.348295325855703E-2</v>
      </c>
      <c r="G87">
        <f t="shared" si="27"/>
        <v>1</v>
      </c>
      <c r="H87" s="24">
        <f>'Sand.panel_t-1,0'!I399</f>
        <v>0.152</v>
      </c>
      <c r="I87" s="3">
        <f t="shared" si="28"/>
        <v>2.842027052342714</v>
      </c>
      <c r="J87" s="3">
        <f t="shared" ref="J87:J89" si="29">F87/H87</f>
        <v>0.35186153459576996</v>
      </c>
    </row>
    <row r="88" spans="4:10" x14ac:dyDescent="0.25">
      <c r="E88">
        <f>'Sand.panel_t-1,0'!I18</f>
        <v>810</v>
      </c>
      <c r="F88" s="24">
        <f>'Sand.panel_t-1,0'!I382</f>
        <v>0.17764396351675504</v>
      </c>
      <c r="G88">
        <f t="shared" si="27"/>
        <v>1</v>
      </c>
      <c r="H88" s="24">
        <f>'Sand.panel_t-1,0'!I401</f>
        <v>0.374</v>
      </c>
      <c r="I88" s="3">
        <f t="shared" si="28"/>
        <v>2.1053346964121582</v>
      </c>
      <c r="J88" s="3">
        <f t="shared" si="29"/>
        <v>0.47498385967046802</v>
      </c>
    </row>
    <row r="89" spans="4:10" x14ac:dyDescent="0.25">
      <c r="E89">
        <f>'Sand.panel_t-1,0'!I20</f>
        <v>990</v>
      </c>
      <c r="F89" s="24">
        <f>'Sand.panel_t-1,0'!I384</f>
        <v>0.39641598382088261</v>
      </c>
      <c r="G89">
        <f t="shared" si="27"/>
        <v>1</v>
      </c>
      <c r="H89" s="24">
        <f>'Sand.panel_t-1,0'!I403</f>
        <v>0.71199999999999997</v>
      </c>
      <c r="I89" s="3">
        <f t="shared" si="28"/>
        <v>1.7960930665240569</v>
      </c>
      <c r="J89" s="3">
        <f t="shared" si="29"/>
        <v>0.55676402222034083</v>
      </c>
    </row>
    <row r="90" spans="4:10" x14ac:dyDescent="0.25">
      <c r="E90">
        <f>'Sand.panel_t-1,0'!I22</f>
        <v>1230</v>
      </c>
      <c r="F90" s="24">
        <f>'Sand.panel_t-1,0'!I386</f>
        <v>0.94456277176783365</v>
      </c>
      <c r="G90">
        <f t="shared" si="27"/>
        <v>1</v>
      </c>
      <c r="H90" s="24">
        <f>'Sand.panel_t-1,0'!I405</f>
        <v>1.4850000000000001</v>
      </c>
      <c r="I90" s="3">
        <f t="shared" si="28"/>
        <v>1.5721559692858631</v>
      </c>
      <c r="J90" s="3">
        <f>F90/H90</f>
        <v>0.63606920657766575</v>
      </c>
    </row>
    <row r="91" spans="4:10" x14ac:dyDescent="0.25">
      <c r="E91">
        <f>'Sand.panel_t-1,0'!I24</f>
        <v>1530</v>
      </c>
      <c r="F91" s="24">
        <f>'Sand.panel_t-1,0'!I388</f>
        <v>2.2613933054233955</v>
      </c>
      <c r="G91">
        <f t="shared" si="27"/>
        <v>1</v>
      </c>
      <c r="H91" s="24">
        <f>'Sand.panel_t-1,0'!I407</f>
        <v>3.2320000000000002</v>
      </c>
      <c r="I91" s="3">
        <f t="shared" si="28"/>
        <v>1.4292073794721349</v>
      </c>
      <c r="J91" s="3">
        <f>F91/H91</f>
        <v>0.69968852271763471</v>
      </c>
    </row>
    <row r="92" spans="4:10" x14ac:dyDescent="0.25">
      <c r="E92">
        <f>'Sand.panel_t-1,0'!I26</f>
        <v>1800</v>
      </c>
      <c r="F92" s="24">
        <f>'Sand.panel_t-1,0'!I390</f>
        <v>4.3321192139431197</v>
      </c>
      <c r="G92">
        <f>F92/F92</f>
        <v>1</v>
      </c>
      <c r="H92" s="24">
        <f>'Sand.panel_t-1,0'!I409</f>
        <v>5.851</v>
      </c>
      <c r="I92" s="3">
        <f>H92/F92</f>
        <v>1.3506091847999691</v>
      </c>
      <c r="J92" s="3">
        <f>F92/H92</f>
        <v>0.74040663372810112</v>
      </c>
    </row>
    <row r="93" spans="4:10" x14ac:dyDescent="0.25">
      <c r="E93">
        <f>'Sand.panel_t-1,0'!I28</f>
        <v>2010</v>
      </c>
      <c r="F93" s="24">
        <f>'Sand.panel_t-1,0'!I392</f>
        <v>6.7358841409407937</v>
      </c>
      <c r="G93">
        <f>F93/F93</f>
        <v>1</v>
      </c>
      <c r="H93" s="24">
        <f>'Sand.panel_t-1,0'!I411</f>
        <v>8.8219999999999992</v>
      </c>
      <c r="I93" s="3">
        <f>H93/F93</f>
        <v>1.3097018617615117</v>
      </c>
      <c r="J93" s="3">
        <f>F93/H93</f>
        <v>0.76353254828165884</v>
      </c>
    </row>
    <row r="95" spans="4:10" ht="18" x14ac:dyDescent="0.35">
      <c r="D95" t="s">
        <v>147</v>
      </c>
      <c r="E95" s="1" t="s">
        <v>114</v>
      </c>
      <c r="F95" t="s">
        <v>115</v>
      </c>
      <c r="G95" t="s">
        <v>116</v>
      </c>
      <c r="H95" s="24" t="s">
        <v>117</v>
      </c>
      <c r="I95" t="s">
        <v>118</v>
      </c>
      <c r="J95" t="s">
        <v>152</v>
      </c>
    </row>
    <row r="96" spans="4:10" x14ac:dyDescent="0.25">
      <c r="E96">
        <f>'Sand.panel_t-1,0'!J14</f>
        <v>313.2</v>
      </c>
      <c r="F96" s="24">
        <f>'Sand.panel_t-1,0'!J378</f>
        <v>3.9691808858966192E-3</v>
      </c>
      <c r="G96">
        <f>F96/F96</f>
        <v>1</v>
      </c>
      <c r="H96" s="24">
        <f>'Sand.panel_t-1,0'!J397</f>
        <v>2.1999999999999999E-2</v>
      </c>
      <c r="I96" s="3">
        <f>H96/F96</f>
        <v>5.5427053169007445</v>
      </c>
      <c r="J96" s="3">
        <f>F96/H96</f>
        <v>0.18041731299530089</v>
      </c>
    </row>
    <row r="97" spans="3:10" x14ac:dyDescent="0.25">
      <c r="E97">
        <f>'Sand.panel_t-1,0'!J16</f>
        <v>600.29999999999995</v>
      </c>
      <c r="F97" s="24">
        <f>'Sand.panel_t-1,0'!J380</f>
        <v>5.3565757537142933E-2</v>
      </c>
      <c r="G97">
        <f t="shared" ref="G97:G99" si="30">F97/F97</f>
        <v>1</v>
      </c>
      <c r="H97" s="24">
        <f>'Sand.panel_t-1,0'!J399</f>
        <v>0.13200000000000001</v>
      </c>
      <c r="I97" s="3">
        <f t="shared" ref="I97:I99" si="31">H97/F97</f>
        <v>2.4642608649466058</v>
      </c>
      <c r="J97" s="3">
        <f t="shared" ref="J97:J99" si="32">F97/H97</f>
        <v>0.40580119346320404</v>
      </c>
    </row>
    <row r="98" spans="3:10" x14ac:dyDescent="0.25">
      <c r="E98">
        <f>'Sand.panel_t-1,0'!J18</f>
        <v>809.1</v>
      </c>
      <c r="F98" s="24">
        <f>'Sand.panel_t-1,0'!J382</f>
        <v>0.17677574753685055</v>
      </c>
      <c r="G98">
        <f t="shared" si="30"/>
        <v>1</v>
      </c>
      <c r="H98" s="24">
        <f>'Sand.panel_t-1,0'!J401</f>
        <v>0.33400000000000002</v>
      </c>
      <c r="I98" s="3">
        <f t="shared" si="31"/>
        <v>1.8893994490413601</v>
      </c>
      <c r="J98" s="3">
        <f t="shared" si="32"/>
        <v>0.52926870520015135</v>
      </c>
    </row>
    <row r="99" spans="3:10" x14ac:dyDescent="0.25">
      <c r="E99">
        <f>'Sand.panel_t-1,0'!J20</f>
        <v>991.8</v>
      </c>
      <c r="F99" s="24">
        <f>'Sand.panel_t-1,0'!J384</f>
        <v>0.39912625172139915</v>
      </c>
      <c r="G99">
        <f t="shared" si="30"/>
        <v>1</v>
      </c>
      <c r="H99" s="24">
        <f>'Sand.panel_t-1,0'!J403</f>
        <v>0.65700000000000003</v>
      </c>
      <c r="I99" s="3">
        <f t="shared" si="31"/>
        <v>1.6460956831739639</v>
      </c>
      <c r="J99" s="3">
        <f t="shared" si="32"/>
        <v>0.60749810003257099</v>
      </c>
    </row>
    <row r="100" spans="3:10" x14ac:dyDescent="0.25">
      <c r="E100">
        <f>'Sand.panel_t-1,0'!J22</f>
        <v>1226.7</v>
      </c>
      <c r="F100" s="24">
        <f>'Sand.panel_t-1,0'!J386</f>
        <v>0.93404400822110867</v>
      </c>
      <c r="G100">
        <f t="shared" ref="G100:G101" si="33">F100/F100</f>
        <v>1</v>
      </c>
      <c r="H100" s="24">
        <f>'Sand.panel_t-1,0'!J405</f>
        <v>1.38</v>
      </c>
      <c r="I100" s="3">
        <f t="shared" ref="I100:I101" si="34">H100/F100</f>
        <v>1.47744644562114</v>
      </c>
      <c r="J100" s="3">
        <f t="shared" ref="J100:J101" si="35">F100/H100</f>
        <v>0.67684348421819474</v>
      </c>
    </row>
    <row r="101" spans="3:10" x14ac:dyDescent="0.25">
      <c r="E101">
        <f>'Sand.panel_t-1,0'!J24</f>
        <v>1539.9</v>
      </c>
      <c r="F101" s="24">
        <f>'Sand.panel_t-1,0'!J388</f>
        <v>2.3194443320172238</v>
      </c>
      <c r="G101">
        <f t="shared" si="33"/>
        <v>1</v>
      </c>
      <c r="H101" s="24">
        <f>'Sand.panel_t-1,0'!J407</f>
        <v>3.1579999999999999</v>
      </c>
      <c r="I101" s="3">
        <f t="shared" si="34"/>
        <v>1.3615330001274413</v>
      </c>
      <c r="J101" s="3">
        <f t="shared" si="35"/>
        <v>0.73446622293135655</v>
      </c>
    </row>
    <row r="102" spans="3:10" x14ac:dyDescent="0.25">
      <c r="E102">
        <f>'Sand.panel_t-1,0'!J26</f>
        <v>1800.9</v>
      </c>
      <c r="F102" s="24">
        <f>'Sand.panel_t-1,0'!J390</f>
        <v>4.3388263605085795</v>
      </c>
      <c r="G102">
        <f>F102/F102</f>
        <v>1</v>
      </c>
      <c r="H102" s="24">
        <f>'Sand.panel_t-1,0'!J409</f>
        <v>5.6559999999999997</v>
      </c>
      <c r="I102" s="3">
        <f>H102/F102</f>
        <v>1.3035783251157869</v>
      </c>
      <c r="J102" s="3">
        <f>F102/H102</f>
        <v>0.76711922922711806</v>
      </c>
    </row>
    <row r="103" spans="3:10" x14ac:dyDescent="0.25">
      <c r="E103">
        <f>'Sand.panel_t-1,0'!J28</f>
        <v>2009.7</v>
      </c>
      <c r="F103" s="24">
        <f>'Sand.panel_t-1,0'!J392</f>
        <v>6.72881840366224</v>
      </c>
      <c r="G103">
        <f>F103/F103</f>
        <v>1</v>
      </c>
      <c r="H103" s="24">
        <f>'Sand.panel_t-1,0'!J411</f>
        <v>8.5609999999999999</v>
      </c>
      <c r="I103" s="3">
        <f>H103/F103</f>
        <v>1.2722887565728589</v>
      </c>
      <c r="J103" s="3">
        <f>F103/H103</f>
        <v>0.78598509562694074</v>
      </c>
    </row>
    <row r="105" spans="3:10" ht="18" x14ac:dyDescent="0.35">
      <c r="C105" s="41" t="s">
        <v>151</v>
      </c>
      <c r="D105" s="2">
        <f>'Sand.panel_t-1,0'!H35</f>
        <v>5</v>
      </c>
      <c r="E105" t="s">
        <v>113</v>
      </c>
    </row>
    <row r="106" spans="3:10" ht="18" x14ac:dyDescent="0.35">
      <c r="D106" t="s">
        <v>2</v>
      </c>
      <c r="E106" s="1" t="s">
        <v>114</v>
      </c>
      <c r="F106" t="s">
        <v>115</v>
      </c>
      <c r="G106" t="s">
        <v>116</v>
      </c>
      <c r="H106" s="24" t="s">
        <v>117</v>
      </c>
      <c r="I106" t="s">
        <v>118</v>
      </c>
      <c r="J106" t="s">
        <v>152</v>
      </c>
    </row>
    <row r="107" spans="3:10" x14ac:dyDescent="0.25">
      <c r="E107">
        <f>'Sand.panel_t-1,0'!H14</f>
        <v>308</v>
      </c>
      <c r="F107" s="24">
        <f>'Sand.panel_t-1,0'!H434</f>
        <v>3.7043594422647031E-3</v>
      </c>
      <c r="G107">
        <f>F107/F107</f>
        <v>1</v>
      </c>
      <c r="H107" s="24">
        <f>'Sand.panel_t-1,0'!H453</f>
        <v>1.2999999999999999E-2</v>
      </c>
      <c r="I107" s="3">
        <f>H107/F107</f>
        <v>3.5093786665724584</v>
      </c>
      <c r="J107" s="3">
        <f>F107/H107</f>
        <v>0.28495072632805407</v>
      </c>
    </row>
    <row r="108" spans="3:10" x14ac:dyDescent="0.25">
      <c r="E108">
        <f>'Sand.panel_t-1,0'!H16</f>
        <v>594</v>
      </c>
      <c r="F108" s="24">
        <f>'Sand.panel_t-1,0'!H436</f>
        <v>5.1245535359136715E-2</v>
      </c>
      <c r="G108">
        <f t="shared" ref="G108:G110" si="36">F108/F108</f>
        <v>1</v>
      </c>
      <c r="H108" s="24">
        <f>'Sand.panel_t-1,0'!H455</f>
        <v>9.5000000000000001E-2</v>
      </c>
      <c r="I108" s="3">
        <f t="shared" ref="I108:I110" si="37">H108/F108</f>
        <v>1.8538200320130362</v>
      </c>
      <c r="J108" s="3">
        <f t="shared" ref="J108:J110" si="38">F108/H108</f>
        <v>0.53942668799091276</v>
      </c>
    </row>
    <row r="109" spans="3:10" x14ac:dyDescent="0.25">
      <c r="E109">
        <f>'Sand.panel_t-1,0'!H18</f>
        <v>814</v>
      </c>
      <c r="F109" s="24">
        <f>'Sand.panel_t-1,0'!H438</f>
        <v>0.18072068920955484</v>
      </c>
      <c r="G109">
        <f t="shared" si="36"/>
        <v>1</v>
      </c>
      <c r="H109" s="24">
        <f>'Sand.panel_t-1,0'!H457</f>
        <v>0.27700000000000002</v>
      </c>
      <c r="I109" s="3">
        <f t="shared" si="37"/>
        <v>1.5327520120222895</v>
      </c>
      <c r="J109" s="3">
        <f t="shared" si="38"/>
        <v>0.65242126068431339</v>
      </c>
    </row>
    <row r="110" spans="3:10" x14ac:dyDescent="0.25">
      <c r="E110">
        <f>'Sand.panel_t-1,0'!H20</f>
        <v>990</v>
      </c>
      <c r="F110" s="24">
        <f>'Sand.panel_t-1,0'!H440</f>
        <v>0.39541308147482035</v>
      </c>
      <c r="G110">
        <f t="shared" si="36"/>
        <v>1</v>
      </c>
      <c r="H110" s="24">
        <f>'Sand.panel_t-1,0'!H459</f>
        <v>0.55800000000000005</v>
      </c>
      <c r="I110" s="3">
        <f t="shared" si="37"/>
        <v>1.4111824472745298</v>
      </c>
      <c r="J110" s="3">
        <f t="shared" si="38"/>
        <v>0.70862559404089664</v>
      </c>
    </row>
    <row r="111" spans="3:10" x14ac:dyDescent="0.25">
      <c r="E111">
        <f>'Sand.panel_t-1,0'!H22</f>
        <v>1232</v>
      </c>
      <c r="F111" s="24">
        <f>'Sand.panel_t-1,0'!H442</f>
        <v>0.948316017219764</v>
      </c>
      <c r="G111">
        <f>F111/F111</f>
        <v>1</v>
      </c>
      <c r="H111" s="24">
        <f>'Sand.panel_t-1,0'!H461</f>
        <v>1.2569999999999999</v>
      </c>
      <c r="I111" s="3">
        <f>H111/F111</f>
        <v>1.3255075071759554</v>
      </c>
      <c r="J111" s="3">
        <f>F111/H111</f>
        <v>0.75442801688127614</v>
      </c>
    </row>
    <row r="112" spans="3:10" x14ac:dyDescent="0.25">
      <c r="E112">
        <f>'Sand.panel_t-1,0'!H24</f>
        <v>1540</v>
      </c>
      <c r="F112" s="24">
        <f>'Sand.panel_t-1,0'!H444</f>
        <v>2.3152246514154395</v>
      </c>
      <c r="G112">
        <f>F112/F112</f>
        <v>1</v>
      </c>
      <c r="H112" s="24">
        <f>'Sand.panel_t-1,0'!H463</f>
        <v>2.9220000000000002</v>
      </c>
      <c r="I112" s="3">
        <f>H112/F112</f>
        <v>1.2620805493815044</v>
      </c>
      <c r="J112" s="3">
        <f>F112/H112</f>
        <v>0.79234245428317573</v>
      </c>
    </row>
    <row r="113" spans="4:10" x14ac:dyDescent="0.25">
      <c r="E113">
        <f>'Sand.panel_t-1,0'!H26</f>
        <v>1804</v>
      </c>
      <c r="F113" s="24">
        <f>'Sand.panel_t-1,0'!H446</f>
        <v>4.3596978100513741</v>
      </c>
      <c r="G113">
        <f>F113/F113</f>
        <v>1</v>
      </c>
      <c r="H113" s="24">
        <f>'Sand.panel_t-1,0'!H465</f>
        <v>5.3659999999999997</v>
      </c>
      <c r="I113" s="3">
        <f>H113/F113</f>
        <v>1.2308192525703443</v>
      </c>
      <c r="J113" s="3">
        <f>F113/H113</f>
        <v>0.81246697913741606</v>
      </c>
    </row>
    <row r="114" spans="4:10" x14ac:dyDescent="0.25">
      <c r="E114">
        <f>'Sand.panel_t-1,0'!H28</f>
        <v>2002</v>
      </c>
      <c r="F114" s="24">
        <f>'Sand.panel_t-1,0'!H448</f>
        <v>6.6125131269076363</v>
      </c>
      <c r="G114">
        <f>F114/F114</f>
        <v>1</v>
      </c>
      <c r="H114" s="24">
        <f>'Sand.panel_t-1,0'!H467</f>
        <v>8.0340000000000007</v>
      </c>
      <c r="I114" s="3">
        <f>H114/F114</f>
        <v>1.2149692326973311</v>
      </c>
      <c r="J114" s="3">
        <f>F114/H114</f>
        <v>0.82306610989639484</v>
      </c>
    </row>
    <row r="116" spans="4:10" ht="18" x14ac:dyDescent="0.35">
      <c r="D116" t="s">
        <v>3</v>
      </c>
      <c r="E116" s="1" t="s">
        <v>114</v>
      </c>
      <c r="F116" t="s">
        <v>115</v>
      </c>
      <c r="G116" t="s">
        <v>116</v>
      </c>
      <c r="H116" s="24" t="s">
        <v>117</v>
      </c>
      <c r="I116" t="s">
        <v>118</v>
      </c>
      <c r="J116" t="s">
        <v>152</v>
      </c>
    </row>
    <row r="117" spans="4:10" x14ac:dyDescent="0.25">
      <c r="E117">
        <f>'Sand.panel_t-1,0'!I14</f>
        <v>300</v>
      </c>
      <c r="F117" s="24">
        <f>'Sand.panel_t-1,0'!I434</f>
        <v>3.3415071501203875E-3</v>
      </c>
      <c r="G117">
        <f>F117/F117</f>
        <v>1</v>
      </c>
      <c r="H117" s="24">
        <f>'Sand.panel_t-1,0'!I453</f>
        <v>1.7999999999999999E-2</v>
      </c>
      <c r="I117" s="3">
        <f>H117/F117</f>
        <v>5.3867908076603985</v>
      </c>
      <c r="J117" s="3">
        <f>F117/H117</f>
        <v>0.18563928611779931</v>
      </c>
    </row>
    <row r="118" spans="4:10" x14ac:dyDescent="0.25">
      <c r="E118">
        <f>'Sand.panel_t-1,0'!I16</f>
        <v>600</v>
      </c>
      <c r="F118" s="24">
        <f>'Sand.panel_t-1,0'!I436</f>
        <v>5.3464114401926201E-2</v>
      </c>
      <c r="G118">
        <f t="shared" ref="G118:G120" si="39">F118/F118</f>
        <v>1</v>
      </c>
      <c r="H118" s="24">
        <f>'Sand.panel_t-1,0'!I455</f>
        <v>0.124</v>
      </c>
      <c r="I118" s="3">
        <f t="shared" ref="I118:I120" si="40">H118/F118</f>
        <v>2.3193127088537828</v>
      </c>
      <c r="J118" s="3">
        <f t="shared" ref="J118:J120" si="41">F118/H118</f>
        <v>0.43116221291875967</v>
      </c>
    </row>
    <row r="119" spans="4:10" x14ac:dyDescent="0.25">
      <c r="E119">
        <f>'Sand.panel_t-1,0'!I18</f>
        <v>810</v>
      </c>
      <c r="F119" s="24">
        <f>'Sand.panel_t-1,0'!I438</f>
        <v>0.1775813901367129</v>
      </c>
      <c r="G119">
        <f t="shared" si="39"/>
        <v>1</v>
      </c>
      <c r="H119" s="24">
        <f>'Sand.panel_t-1,0'!I457</f>
        <v>0.32100000000000001</v>
      </c>
      <c r="I119" s="3">
        <f t="shared" si="40"/>
        <v>1.8076218445687062</v>
      </c>
      <c r="J119" s="3">
        <f t="shared" si="41"/>
        <v>0.55321305338539839</v>
      </c>
    </row>
    <row r="120" spans="4:10" x14ac:dyDescent="0.25">
      <c r="E120">
        <f>'Sand.panel_t-1,0'!I20</f>
        <v>990</v>
      </c>
      <c r="F120" s="24">
        <f>'Sand.panel_t-1,0'!I440</f>
        <v>0.39627635009779205</v>
      </c>
      <c r="G120">
        <f t="shared" si="39"/>
        <v>1</v>
      </c>
      <c r="H120" s="24">
        <f>'Sand.panel_t-1,0'!I459</f>
        <v>0.63200000000000001</v>
      </c>
      <c r="I120" s="3">
        <f t="shared" si="40"/>
        <v>1.5948466262093024</v>
      </c>
      <c r="J120" s="3">
        <f t="shared" si="41"/>
        <v>0.62701954129397475</v>
      </c>
    </row>
    <row r="121" spans="4:10" x14ac:dyDescent="0.25">
      <c r="E121">
        <f>'Sand.panel_t-1,0'!I22</f>
        <v>1230</v>
      </c>
      <c r="F121" s="24">
        <f>'Sand.panel_t-1,0'!I442</f>
        <v>0.94423005860313369</v>
      </c>
      <c r="G121">
        <f>F121/F121</f>
        <v>1</v>
      </c>
      <c r="H121" s="24">
        <f>'Sand.panel_t-1,0'!I461</f>
        <v>1.3620000000000001</v>
      </c>
      <c r="I121" s="3">
        <f>H121/F121</f>
        <v>1.4424450774368516</v>
      </c>
      <c r="J121" s="3">
        <f>F121/H121</f>
        <v>0.69326729706544321</v>
      </c>
    </row>
    <row r="122" spans="4:10" x14ac:dyDescent="0.25">
      <c r="E122">
        <f>'Sand.panel_t-1,0'!I24</f>
        <v>1530</v>
      </c>
      <c r="F122" s="24">
        <f>'Sand.panel_t-1,0'!I444</f>
        <v>2.2605967513501595</v>
      </c>
      <c r="G122">
        <f>F122/F122</f>
        <v>1</v>
      </c>
      <c r="H122" s="24">
        <f>'Sand.panel_t-1,0'!I463</f>
        <v>3.0390000000000001</v>
      </c>
      <c r="I122" s="3">
        <f>H122/F122</f>
        <v>1.3443352947335403</v>
      </c>
      <c r="J122" s="3">
        <f>F122/H122</f>
        <v>0.74386204387961807</v>
      </c>
    </row>
    <row r="123" spans="4:10" x14ac:dyDescent="0.25">
      <c r="E123">
        <f>'Sand.panel_t-1,0'!I26</f>
        <v>1800</v>
      </c>
      <c r="F123" s="24">
        <f>'Sand.panel_t-1,0'!I446</f>
        <v>4.3305932665560221</v>
      </c>
      <c r="G123">
        <f>F123/F123</f>
        <v>1</v>
      </c>
      <c r="H123" s="24">
        <f>'Sand.panel_t-1,0'!I465</f>
        <v>5.5819999999999999</v>
      </c>
      <c r="I123" s="3">
        <f>H123/F123</f>
        <v>1.288968890961949</v>
      </c>
      <c r="J123" s="3">
        <f>F123/H123</f>
        <v>0.77581391375063102</v>
      </c>
    </row>
    <row r="124" spans="4:10" x14ac:dyDescent="0.25">
      <c r="E124">
        <f>'Sand.panel_t-1,0'!I28</f>
        <v>2010</v>
      </c>
      <c r="F124" s="24">
        <f>'Sand.panel_t-1,0'!I448</f>
        <v>6.7335114904441093</v>
      </c>
      <c r="G124">
        <f>F124/F124</f>
        <v>1</v>
      </c>
      <c r="H124" s="24">
        <f>'Sand.panel_t-1,0'!I467</f>
        <v>8.4870000000000001</v>
      </c>
      <c r="I124" s="3">
        <f>H124/F124</f>
        <v>1.2604121953373602</v>
      </c>
      <c r="J124" s="3">
        <f>F124/H124</f>
        <v>0.79339124430824903</v>
      </c>
    </row>
    <row r="125" spans="4:10" ht="18" x14ac:dyDescent="0.35">
      <c r="D125" t="s">
        <v>147</v>
      </c>
      <c r="E125" s="1" t="s">
        <v>114</v>
      </c>
      <c r="F125" t="s">
        <v>115</v>
      </c>
      <c r="G125" t="s">
        <v>116</v>
      </c>
      <c r="H125" s="24" t="s">
        <v>117</v>
      </c>
      <c r="I125" t="s">
        <v>118</v>
      </c>
      <c r="J125" t="s">
        <v>152</v>
      </c>
    </row>
    <row r="126" spans="4:10" x14ac:dyDescent="0.25">
      <c r="E126">
        <f>'Sand.panel_t-1,0'!J14</f>
        <v>313.2</v>
      </c>
      <c r="F126" s="24">
        <f>'Sand.panel_t-1,0'!J434</f>
        <v>3.9667744158520665E-3</v>
      </c>
      <c r="G126">
        <f>F126/F126</f>
        <v>1</v>
      </c>
      <c r="H126" s="24">
        <f>'Sand.panel_t-1,0'!J453</f>
        <v>1.7000000000000001E-2</v>
      </c>
      <c r="I126" s="3">
        <f>H126/F126</f>
        <v>4.2855978731899702</v>
      </c>
      <c r="J126" s="3">
        <f>F126/H126</f>
        <v>0.23333967152070978</v>
      </c>
    </row>
    <row r="127" spans="4:10" x14ac:dyDescent="0.25">
      <c r="E127">
        <f>'Sand.panel_t-1,0'!J16</f>
        <v>600.29999999999995</v>
      </c>
      <c r="F127" s="24">
        <f>'Sand.panel_t-1,0'!J436</f>
        <v>5.3533281216553735E-2</v>
      </c>
      <c r="G127">
        <f t="shared" ref="G127:G129" si="42">F127/F127</f>
        <v>1</v>
      </c>
      <c r="H127" s="24">
        <f>'Sand.panel_t-1,0'!J455</f>
        <v>0.11</v>
      </c>
      <c r="I127" s="3">
        <f t="shared" ref="I127:I129" si="43">H127/F127</f>
        <v>2.0547965209721806</v>
      </c>
      <c r="J127" s="3">
        <f t="shared" ref="J127:J129" si="44">F127/H127</f>
        <v>0.48666619287776125</v>
      </c>
    </row>
    <row r="128" spans="4:10" x14ac:dyDescent="0.25">
      <c r="E128">
        <f>'Sand.panel_t-1,0'!J18</f>
        <v>809.1</v>
      </c>
      <c r="F128" s="24">
        <f>'Sand.panel_t-1,0'!J438</f>
        <v>0.17666857037529501</v>
      </c>
      <c r="G128">
        <f t="shared" si="42"/>
        <v>1</v>
      </c>
      <c r="H128" s="24">
        <f>'Sand.panel_t-1,0'!J457</f>
        <v>0.29299999999999998</v>
      </c>
      <c r="I128" s="3">
        <f t="shared" si="43"/>
        <v>1.658472694818232</v>
      </c>
      <c r="J128" s="3">
        <f t="shared" si="44"/>
        <v>0.60296440401124585</v>
      </c>
    </row>
    <row r="129" spans="5:10" x14ac:dyDescent="0.25">
      <c r="E129">
        <f>'Sand.panel_t-1,0'!J20</f>
        <v>991.8</v>
      </c>
      <c r="F129" s="24">
        <f>'Sand.panel_t-1,0'!J440</f>
        <v>0.3988842659322972</v>
      </c>
      <c r="G129">
        <f t="shared" si="42"/>
        <v>1</v>
      </c>
      <c r="H129" s="24">
        <f>'Sand.panel_t-1,0'!J459</f>
        <v>0.59599999999999997</v>
      </c>
      <c r="I129" s="3">
        <f t="shared" si="43"/>
        <v>1.4941677346109192</v>
      </c>
      <c r="J129" s="3">
        <f t="shared" si="44"/>
        <v>0.66926890257096849</v>
      </c>
    </row>
    <row r="130" spans="5:10" x14ac:dyDescent="0.25">
      <c r="E130">
        <f>'Sand.panel_t-1,0'!J22</f>
        <v>1226.7</v>
      </c>
      <c r="F130" s="24">
        <f>'Sand.panel_t-1,0'!J442</f>
        <v>0.93347770777003458</v>
      </c>
      <c r="G130">
        <f t="shared" ref="G130:G131" si="45">F130/F130</f>
        <v>1</v>
      </c>
      <c r="H130" s="24">
        <f>'Sand.panel_t-1,0'!J461</f>
        <v>1.286</v>
      </c>
      <c r="I130" s="3">
        <f t="shared" ref="I130:I131" si="46">H130/F130</f>
        <v>1.3776440393762575</v>
      </c>
      <c r="J130" s="3">
        <f t="shared" ref="J130:J131" si="47">F130/H130</f>
        <v>0.72587691117421038</v>
      </c>
    </row>
    <row r="131" spans="5:10" x14ac:dyDescent="0.25">
      <c r="E131">
        <f>'Sand.panel_t-1,0'!J24</f>
        <v>1539.9</v>
      </c>
      <c r="F131" s="24">
        <f>'Sand.panel_t-1,0'!J444</f>
        <v>2.3180380788215484</v>
      </c>
      <c r="G131">
        <f t="shared" si="45"/>
        <v>1</v>
      </c>
      <c r="H131" s="24">
        <f>'Sand.panel_t-1,0'!J463</f>
        <v>3.008</v>
      </c>
      <c r="I131" s="3">
        <f t="shared" si="46"/>
        <v>1.297649088460711</v>
      </c>
      <c r="J131" s="3">
        <f t="shared" si="47"/>
        <v>0.77062436131035517</v>
      </c>
    </row>
    <row r="132" spans="5:10" x14ac:dyDescent="0.25">
      <c r="E132">
        <f>'Sand.panel_t-1,0'!J26</f>
        <v>1800.9</v>
      </c>
      <c r="F132" s="24">
        <f>'Sand.panel_t-1,0'!J446</f>
        <v>4.336195778540854</v>
      </c>
      <c r="G132">
        <f t="shared" ref="G132" si="48">F132/F132</f>
        <v>1</v>
      </c>
      <c r="H132" s="24">
        <f>'Sand.panel_t-1,0'!J465</f>
        <v>5.45</v>
      </c>
      <c r="I132" s="3">
        <f t="shared" ref="I132" si="49">H132/F132</f>
        <v>1.2568620695059911</v>
      </c>
      <c r="J132" s="3">
        <f t="shared" ref="J132" si="50">F132/H132</f>
        <v>0.795632252943276</v>
      </c>
    </row>
    <row r="133" spans="5:10" x14ac:dyDescent="0.25">
      <c r="E133">
        <f>'Sand.panel_t-1,0'!J28</f>
        <v>2009.7</v>
      </c>
      <c r="F133" s="24">
        <f>'Sand.panel_t-1,0'!J448</f>
        <v>6.724738796209432</v>
      </c>
      <c r="G133">
        <f>F133/F133</f>
        <v>1</v>
      </c>
      <c r="H133" s="24">
        <f>'Sand.panel_t-1,0'!J467</f>
        <v>8.3040000000000003</v>
      </c>
      <c r="I133" s="3">
        <f>H133/F133</f>
        <v>1.2348435012346886</v>
      </c>
      <c r="J133" s="3">
        <f>F133/H133</f>
        <v>0.80981921919670419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Grid.panel_t-1,0</vt:lpstr>
      <vt:lpstr>Sand.panel_t-1,0</vt:lpstr>
      <vt:lpstr>Buckling__t-1,0</vt:lpstr>
      <vt:lpstr>Interf.F&amp;M__CELL-2__t-1,0</vt:lpstr>
      <vt:lpstr>Interf.F&amp;M__CELL-4__t-1,0</vt:lpstr>
      <vt:lpstr>Interf.F&amp;M__CELL-5__t-1,0</vt:lpstr>
      <vt:lpstr>Panel-stress_t-1,0</vt:lpstr>
      <vt:lpstr>w-max_analysis_t-1,0</vt:lpstr>
      <vt:lpstr>Par.analysis_t-1,0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2019-12-08T18:25:04Z</dcterms:created>
  <dcterms:modified xsi:type="dcterms:W3CDTF">2020-03-24T22:45:44Z</dcterms:modified>
</cp:coreProperties>
</file>